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2021\TRIMESTRAL\4to TRIM\"/>
    </mc:Choice>
  </mc:AlternateContent>
  <bookViews>
    <workbookView xWindow="0" yWindow="0" windowWidth="28800" windowHeight="12030" tabRatio="553" activeTab="2"/>
  </bookViews>
  <sheets>
    <sheet name="RESUMEN" sheetId="16" r:id="rId1"/>
    <sheet name="PDM " sheetId="13" r:id="rId2"/>
    <sheet name="FORTAMUNDF" sheetId="12" r:id="rId3"/>
    <sheet name="FISMDF" sheetId="11" r:id="rId4"/>
  </sheets>
  <definedNames>
    <definedName name="_xlnm._FilterDatabase" localSheetId="3" hidden="1">FISMDF!$A$15:$U$111</definedName>
    <definedName name="_xlnm._FilterDatabase" localSheetId="1" hidden="1">'PDM '!$A$10:$U$22</definedName>
    <definedName name="_xlnm.Print_Area" localSheetId="3">FISMDF!$A$2:$U$115</definedName>
    <definedName name="_xlnm.Print_Area" localSheetId="2">FORTAMUNDF!$A$1:$U$20</definedName>
    <definedName name="_xlnm.Print_Area" localSheetId="1">'PDM '!$A$2:$U$58</definedName>
    <definedName name="_xlnm.Print_Area" localSheetId="0">RESUMEN!$B$6:$Y$35</definedName>
    <definedName name="_xlnm.Print_Titles" localSheetId="3">FISMDF!$13:$15</definedName>
    <definedName name="_xlnm.Print_Titles" localSheetId="1">'PDM '!$9:$10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8" i="16" l="1"/>
  <c r="G111" i="11" l="1"/>
  <c r="G110" i="11"/>
  <c r="G109" i="11"/>
  <c r="G108" i="11"/>
  <c r="G107" i="11"/>
  <c r="G105" i="11"/>
  <c r="G104" i="11"/>
  <c r="G103" i="11"/>
  <c r="G102" i="11"/>
  <c r="G101" i="11"/>
  <c r="G100" i="11"/>
  <c r="G99" i="11"/>
  <c r="G98" i="11"/>
  <c r="G97" i="11"/>
  <c r="G96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C8" i="13" l="1"/>
  <c r="C8" i="12" l="1"/>
  <c r="C19" i="16"/>
  <c r="C10" i="12" l="1"/>
  <c r="H16" i="12"/>
  <c r="H15" i="12"/>
  <c r="H14" i="12"/>
  <c r="L14" i="12"/>
  <c r="K14" i="12" s="1"/>
  <c r="G14" i="12"/>
  <c r="I16" i="12"/>
  <c r="G16" i="12" s="1"/>
  <c r="K16" i="12" s="1"/>
  <c r="O15" i="12"/>
  <c r="I15" i="12"/>
  <c r="G15" i="12" s="1"/>
  <c r="J18" i="12"/>
  <c r="I14" i="12"/>
  <c r="H18" i="12" l="1"/>
  <c r="L15" i="12"/>
  <c r="G18" i="12"/>
  <c r="N14" i="12"/>
  <c r="O14" i="12" s="1"/>
  <c r="N16" i="12"/>
  <c r="O16" i="12"/>
  <c r="I18" i="12"/>
  <c r="L18" i="12" l="1"/>
  <c r="K15" i="12"/>
  <c r="K18" i="12" s="1"/>
  <c r="G19" i="16" l="1"/>
  <c r="H19" i="16"/>
  <c r="W19" i="16"/>
  <c r="J113" i="11" l="1"/>
  <c r="H113" i="11"/>
  <c r="I111" i="11"/>
  <c r="N110" i="11"/>
  <c r="K109" i="11"/>
  <c r="K108" i="11"/>
  <c r="K107" i="11"/>
  <c r="I106" i="11"/>
  <c r="G106" i="11" s="1"/>
  <c r="I105" i="11"/>
  <c r="I104" i="11"/>
  <c r="K103" i="11"/>
  <c r="I102" i="11"/>
  <c r="K102" i="11" s="1"/>
  <c r="N101" i="11"/>
  <c r="I100" i="11"/>
  <c r="I99" i="11"/>
  <c r="K99" i="11" s="1"/>
  <c r="I98" i="11"/>
  <c r="K98" i="11" s="1"/>
  <c r="I97" i="11"/>
  <c r="I96" i="11"/>
  <c r="K96" i="11"/>
  <c r="I95" i="11"/>
  <c r="G95" i="11" s="1"/>
  <c r="K95" i="11" s="1"/>
  <c r="I94" i="11"/>
  <c r="G94" i="11" s="1"/>
  <c r="I93" i="11"/>
  <c r="K93" i="11" s="1"/>
  <c r="I92" i="11"/>
  <c r="K92" i="11" s="1"/>
  <c r="I91" i="11"/>
  <c r="I90" i="11"/>
  <c r="K90" i="11"/>
  <c r="I89" i="11"/>
  <c r="K89" i="11" s="1"/>
  <c r="I88" i="11"/>
  <c r="I87" i="11"/>
  <c r="K87" i="11"/>
  <c r="I86" i="11"/>
  <c r="K86" i="11" s="1"/>
  <c r="I85" i="11"/>
  <c r="I84" i="11"/>
  <c r="K84" i="11" s="1"/>
  <c r="I83" i="11"/>
  <c r="K83" i="11" s="1"/>
  <c r="I82" i="11"/>
  <c r="I81" i="11"/>
  <c r="K81" i="11" s="1"/>
  <c r="I80" i="11"/>
  <c r="K80" i="11"/>
  <c r="I79" i="11"/>
  <c r="I78" i="11"/>
  <c r="K78" i="11" s="1"/>
  <c r="I77" i="11"/>
  <c r="K77" i="11" s="1"/>
  <c r="I76" i="11"/>
  <c r="I75" i="11"/>
  <c r="K75" i="11" s="1"/>
  <c r="I74" i="11"/>
  <c r="K74" i="11" s="1"/>
  <c r="I73" i="11"/>
  <c r="I72" i="11"/>
  <c r="I71" i="11"/>
  <c r="K71" i="11"/>
  <c r="I70" i="11"/>
  <c r="I69" i="11"/>
  <c r="K69" i="11" s="1"/>
  <c r="I68" i="11"/>
  <c r="K68" i="11" s="1"/>
  <c r="I67" i="11"/>
  <c r="I66" i="11"/>
  <c r="K66" i="11" s="1"/>
  <c r="I65" i="11"/>
  <c r="K65" i="11" s="1"/>
  <c r="I64" i="11"/>
  <c r="I63" i="11"/>
  <c r="K63" i="11" s="1"/>
  <c r="I62" i="11"/>
  <c r="K62" i="11" s="1"/>
  <c r="I61" i="11"/>
  <c r="I60" i="11"/>
  <c r="K60" i="11" s="1"/>
  <c r="I59" i="11"/>
  <c r="K59" i="11" s="1"/>
  <c r="I58" i="11"/>
  <c r="I57" i="11"/>
  <c r="K57" i="11" s="1"/>
  <c r="I56" i="11"/>
  <c r="K56" i="11" s="1"/>
  <c r="I55" i="11"/>
  <c r="I54" i="11"/>
  <c r="K54" i="11"/>
  <c r="I53" i="11"/>
  <c r="K53" i="11" s="1"/>
  <c r="I52" i="11"/>
  <c r="I51" i="11"/>
  <c r="K51" i="11"/>
  <c r="I50" i="11"/>
  <c r="K50" i="11" s="1"/>
  <c r="I49" i="11"/>
  <c r="I48" i="11"/>
  <c r="K48" i="11" s="1"/>
  <c r="I47" i="11"/>
  <c r="K47" i="11"/>
  <c r="I46" i="11"/>
  <c r="I45" i="11"/>
  <c r="K45" i="11" s="1"/>
  <c r="I44" i="11"/>
  <c r="K44" i="11" s="1"/>
  <c r="I43" i="11"/>
  <c r="I42" i="11"/>
  <c r="K42" i="11"/>
  <c r="I41" i="11"/>
  <c r="K41" i="11" s="1"/>
  <c r="I40" i="11"/>
  <c r="I39" i="11"/>
  <c r="I38" i="11"/>
  <c r="K38" i="11" s="1"/>
  <c r="I37" i="11"/>
  <c r="I36" i="11"/>
  <c r="I35" i="11"/>
  <c r="K35" i="11"/>
  <c r="I34" i="11"/>
  <c r="I33" i="11"/>
  <c r="K33" i="11" s="1"/>
  <c r="I32" i="11"/>
  <c r="K32" i="11"/>
  <c r="I31" i="11"/>
  <c r="I30" i="11"/>
  <c r="K30" i="11"/>
  <c r="I29" i="11"/>
  <c r="K29" i="11" s="1"/>
  <c r="I28" i="11"/>
  <c r="I27" i="11"/>
  <c r="K27" i="11" s="1"/>
  <c r="I26" i="11"/>
  <c r="K26" i="11"/>
  <c r="I25" i="11"/>
  <c r="I24" i="11"/>
  <c r="K24" i="11" s="1"/>
  <c r="I23" i="11"/>
  <c r="K23" i="11" s="1"/>
  <c r="I22" i="11"/>
  <c r="I21" i="11"/>
  <c r="I20" i="11"/>
  <c r="K20" i="11" s="1"/>
  <c r="I19" i="11"/>
  <c r="I18" i="11"/>
  <c r="L18" i="11" s="1"/>
  <c r="I17" i="11"/>
  <c r="I16" i="11"/>
  <c r="N30" i="11" l="1"/>
  <c r="N66" i="11"/>
  <c r="N81" i="11"/>
  <c r="I113" i="11"/>
  <c r="N96" i="11"/>
  <c r="N51" i="11"/>
  <c r="N24" i="11"/>
  <c r="N54" i="11"/>
  <c r="N90" i="11"/>
  <c r="N45" i="11"/>
  <c r="N60" i="11"/>
  <c r="N75" i="11"/>
  <c r="N33" i="11"/>
  <c r="N69" i="11"/>
  <c r="K39" i="11"/>
  <c r="N48" i="11"/>
  <c r="N84" i="11"/>
  <c r="N87" i="11"/>
  <c r="N63" i="11"/>
  <c r="N27" i="11"/>
  <c r="N99" i="11"/>
  <c r="K21" i="11"/>
  <c r="N42" i="11"/>
  <c r="N78" i="11"/>
  <c r="K36" i="11"/>
  <c r="N57" i="11"/>
  <c r="K72" i="11"/>
  <c r="N93" i="11"/>
  <c r="N35" i="11"/>
  <c r="N65" i="11"/>
  <c r="N77" i="11"/>
  <c r="N103" i="11"/>
  <c r="N29" i="11"/>
  <c r="N83" i="11"/>
  <c r="N47" i="11"/>
  <c r="N89" i="11"/>
  <c r="N20" i="11"/>
  <c r="N26" i="11"/>
  <c r="N38" i="11"/>
  <c r="N50" i="11"/>
  <c r="N62" i="11"/>
  <c r="N74" i="11"/>
  <c r="N86" i="11"/>
  <c r="N98" i="11"/>
  <c r="N23" i="11"/>
  <c r="N53" i="11"/>
  <c r="N71" i="11"/>
  <c r="N32" i="11"/>
  <c r="N44" i="11"/>
  <c r="N56" i="11"/>
  <c r="N68" i="11"/>
  <c r="N80" i="11"/>
  <c r="N92" i="11"/>
  <c r="G16" i="11"/>
  <c r="N41" i="11"/>
  <c r="N59" i="11"/>
  <c r="N95" i="11"/>
  <c r="N22" i="11"/>
  <c r="K22" i="11"/>
  <c r="N40" i="11"/>
  <c r="K40" i="11"/>
  <c r="K52" i="11"/>
  <c r="N52" i="11"/>
  <c r="N64" i="11"/>
  <c r="K64" i="11"/>
  <c r="N76" i="11"/>
  <c r="K76" i="11"/>
  <c r="N111" i="11"/>
  <c r="K111" i="11"/>
  <c r="N18" i="11"/>
  <c r="K18" i="11"/>
  <c r="K19" i="11"/>
  <c r="N19" i="11"/>
  <c r="K25" i="11"/>
  <c r="N25" i="11"/>
  <c r="N31" i="11"/>
  <c r="K31" i="11"/>
  <c r="N37" i="11"/>
  <c r="K37" i="11"/>
  <c r="N43" i="11"/>
  <c r="K43" i="11"/>
  <c r="K49" i="11"/>
  <c r="N49" i="11"/>
  <c r="K55" i="11"/>
  <c r="N55" i="11"/>
  <c r="K61" i="11"/>
  <c r="N61" i="11"/>
  <c r="N67" i="11"/>
  <c r="K67" i="11"/>
  <c r="N73" i="11"/>
  <c r="K73" i="11"/>
  <c r="K79" i="11"/>
  <c r="N79" i="11"/>
  <c r="K85" i="11"/>
  <c r="N85" i="11"/>
  <c r="K91" i="11"/>
  <c r="N91" i="11"/>
  <c r="N97" i="11"/>
  <c r="K97" i="11"/>
  <c r="K34" i="11"/>
  <c r="N34" i="11"/>
  <c r="N46" i="11"/>
  <c r="K46" i="11"/>
  <c r="K58" i="11"/>
  <c r="N58" i="11"/>
  <c r="N70" i="11"/>
  <c r="K70" i="11"/>
  <c r="N82" i="11"/>
  <c r="K82" i="11"/>
  <c r="K94" i="11"/>
  <c r="N94" i="11"/>
  <c r="N100" i="11"/>
  <c r="K100" i="11"/>
  <c r="K105" i="11"/>
  <c r="N105" i="11"/>
  <c r="N106" i="11"/>
  <c r="K106" i="11"/>
  <c r="K28" i="11"/>
  <c r="N28" i="11"/>
  <c r="N88" i="11"/>
  <c r="K88" i="11"/>
  <c r="K110" i="11"/>
  <c r="N102" i="11"/>
  <c r="L17" i="11"/>
  <c r="K104" i="11"/>
  <c r="K101" i="11"/>
  <c r="J54" i="13"/>
  <c r="I54" i="13" s="1"/>
  <c r="J53" i="13"/>
  <c r="I53" i="13"/>
  <c r="H53" i="13"/>
  <c r="L53" i="13" s="1"/>
  <c r="K53" i="13" s="1"/>
  <c r="J52" i="13"/>
  <c r="H52" i="13" s="1"/>
  <c r="I52" i="13"/>
  <c r="J51" i="13"/>
  <c r="I51" i="13" s="1"/>
  <c r="L50" i="13"/>
  <c r="K50" i="13"/>
  <c r="J50" i="13"/>
  <c r="I50" i="13" s="1"/>
  <c r="N50" i="13" s="1"/>
  <c r="G50" i="13"/>
  <c r="L49" i="13"/>
  <c r="K49" i="13"/>
  <c r="J49" i="13"/>
  <c r="I49" i="13" s="1"/>
  <c r="N49" i="13" s="1"/>
  <c r="G49" i="13"/>
  <c r="L48" i="13"/>
  <c r="K48" i="13"/>
  <c r="J48" i="13"/>
  <c r="I48" i="13" s="1"/>
  <c r="N48" i="13" s="1"/>
  <c r="G48" i="13"/>
  <c r="L47" i="13"/>
  <c r="K47" i="13"/>
  <c r="J47" i="13"/>
  <c r="I47" i="13" s="1"/>
  <c r="N47" i="13" s="1"/>
  <c r="G47" i="13"/>
  <c r="L46" i="13"/>
  <c r="K46" i="13"/>
  <c r="J46" i="13"/>
  <c r="I46" i="13" s="1"/>
  <c r="N46" i="13" s="1"/>
  <c r="G46" i="13"/>
  <c r="L45" i="13"/>
  <c r="K45" i="13"/>
  <c r="J45" i="13"/>
  <c r="I45" i="13" s="1"/>
  <c r="N45" i="13" s="1"/>
  <c r="G45" i="13"/>
  <c r="L44" i="13"/>
  <c r="K44" i="13"/>
  <c r="J44" i="13"/>
  <c r="I44" i="13" s="1"/>
  <c r="N44" i="13" s="1"/>
  <c r="G44" i="13"/>
  <c r="L43" i="13"/>
  <c r="K43" i="13"/>
  <c r="J43" i="13"/>
  <c r="I43" i="13" s="1"/>
  <c r="H43" i="13"/>
  <c r="G43" i="13" s="1"/>
  <c r="L42" i="13"/>
  <c r="K42" i="13" s="1"/>
  <c r="J42" i="13"/>
  <c r="I42" i="13"/>
  <c r="H42" i="13"/>
  <c r="G42" i="13"/>
  <c r="N42" i="13" s="1"/>
  <c r="J41" i="13"/>
  <c r="L41" i="13" s="1"/>
  <c r="K41" i="13" s="1"/>
  <c r="G41" i="13"/>
  <c r="J40" i="13"/>
  <c r="I40" i="13"/>
  <c r="H40" i="13"/>
  <c r="L40" i="13" s="1"/>
  <c r="K40" i="13" s="1"/>
  <c r="G40" i="13"/>
  <c r="N40" i="13" s="1"/>
  <c r="L39" i="13"/>
  <c r="K39" i="13"/>
  <c r="J39" i="13"/>
  <c r="I39" i="13"/>
  <c r="G39" i="13"/>
  <c r="N39" i="13" s="1"/>
  <c r="J38" i="13"/>
  <c r="I38" i="13"/>
  <c r="H38" i="13"/>
  <c r="L38" i="13" s="1"/>
  <c r="K38" i="13" s="1"/>
  <c r="L37" i="13"/>
  <c r="K37" i="13" s="1"/>
  <c r="J37" i="13"/>
  <c r="I37" i="13"/>
  <c r="N37" i="13" s="1"/>
  <c r="G37" i="13"/>
  <c r="J36" i="13"/>
  <c r="L36" i="13" s="1"/>
  <c r="K36" i="13" s="1"/>
  <c r="I36" i="13"/>
  <c r="N36" i="13" s="1"/>
  <c r="G36" i="13"/>
  <c r="L35" i="13"/>
  <c r="K35" i="13" s="1"/>
  <c r="J35" i="13"/>
  <c r="I35" i="13"/>
  <c r="N35" i="13" s="1"/>
  <c r="G35" i="13"/>
  <c r="J34" i="13"/>
  <c r="L34" i="13" s="1"/>
  <c r="K34" i="13" s="1"/>
  <c r="I34" i="13"/>
  <c r="N34" i="13" s="1"/>
  <c r="G34" i="13"/>
  <c r="L33" i="13"/>
  <c r="K33" i="13" s="1"/>
  <c r="J33" i="13"/>
  <c r="I33" i="13"/>
  <c r="N33" i="13" s="1"/>
  <c r="G33" i="13"/>
  <c r="J32" i="13"/>
  <c r="L32" i="13" s="1"/>
  <c r="K32" i="13" s="1"/>
  <c r="I32" i="13"/>
  <c r="N32" i="13" s="1"/>
  <c r="G32" i="13"/>
  <c r="L31" i="13"/>
  <c r="K31" i="13" s="1"/>
  <c r="J31" i="13"/>
  <c r="I31" i="13"/>
  <c r="N31" i="13" s="1"/>
  <c r="G31" i="13"/>
  <c r="J30" i="13"/>
  <c r="H30" i="13" s="1"/>
  <c r="I30" i="13"/>
  <c r="J29" i="13"/>
  <c r="I29" i="13" s="1"/>
  <c r="N29" i="13" s="1"/>
  <c r="G29" i="13"/>
  <c r="J28" i="13"/>
  <c r="L28" i="13" s="1"/>
  <c r="K28" i="13" s="1"/>
  <c r="G28" i="13"/>
  <c r="J27" i="13"/>
  <c r="I27" i="13" s="1"/>
  <c r="L26" i="13"/>
  <c r="K26" i="13"/>
  <c r="J26" i="13"/>
  <c r="I26" i="13" s="1"/>
  <c r="N26" i="13" s="1"/>
  <c r="G26" i="13"/>
  <c r="L25" i="13"/>
  <c r="K25" i="13"/>
  <c r="J25" i="13"/>
  <c r="I25" i="13"/>
  <c r="N25" i="13" s="1"/>
  <c r="H25" i="13"/>
  <c r="G25" i="13"/>
  <c r="J24" i="13"/>
  <c r="H24" i="13" s="1"/>
  <c r="I24" i="13"/>
  <c r="J23" i="13"/>
  <c r="I23" i="13"/>
  <c r="H23" i="13"/>
  <c r="L23" i="13" s="1"/>
  <c r="K23" i="13" s="1"/>
  <c r="G23" i="13"/>
  <c r="N23" i="13" s="1"/>
  <c r="J22" i="13"/>
  <c r="I22" i="13"/>
  <c r="H22" i="13"/>
  <c r="G22" i="13" s="1"/>
  <c r="N22" i="13" s="1"/>
  <c r="J21" i="13"/>
  <c r="L21" i="13" s="1"/>
  <c r="K21" i="13" s="1"/>
  <c r="I21" i="13"/>
  <c r="N21" i="13" s="1"/>
  <c r="G21" i="13"/>
  <c r="L20" i="13"/>
  <c r="K20" i="13" s="1"/>
  <c r="J20" i="13"/>
  <c r="I20" i="13"/>
  <c r="N20" i="13" s="1"/>
  <c r="G20" i="13"/>
  <c r="J19" i="13"/>
  <c r="L19" i="13" s="1"/>
  <c r="K19" i="13" s="1"/>
  <c r="I19" i="13"/>
  <c r="N19" i="13" s="1"/>
  <c r="G19" i="13"/>
  <c r="J18" i="13"/>
  <c r="H18" i="13" s="1"/>
  <c r="I18" i="13"/>
  <c r="J17" i="13"/>
  <c r="L17" i="13" s="1"/>
  <c r="K17" i="13" s="1"/>
  <c r="G17" i="13"/>
  <c r="J16" i="13"/>
  <c r="I16" i="13" s="1"/>
  <c r="N15" i="13"/>
  <c r="L15" i="13"/>
  <c r="K15" i="13"/>
  <c r="I15" i="13"/>
  <c r="G15" i="13"/>
  <c r="J14" i="13"/>
  <c r="I14" i="13" s="1"/>
  <c r="L13" i="13"/>
  <c r="K13" i="13"/>
  <c r="J13" i="13"/>
  <c r="I13" i="13" s="1"/>
  <c r="N13" i="13" s="1"/>
  <c r="G13" i="13"/>
  <c r="L12" i="13"/>
  <c r="K12" i="13"/>
  <c r="J12" i="13"/>
  <c r="I12" i="13"/>
  <c r="N12" i="13" s="1"/>
  <c r="H12" i="13"/>
  <c r="G12" i="13"/>
  <c r="J11" i="13"/>
  <c r="J56" i="13" s="1"/>
  <c r="I11" i="13"/>
  <c r="N21" i="11" l="1"/>
  <c r="N72" i="11"/>
  <c r="N39" i="11"/>
  <c r="N36" i="11"/>
  <c r="G113" i="11"/>
  <c r="I117" i="11" s="1"/>
  <c r="L16" i="11"/>
  <c r="L113" i="11" s="1"/>
  <c r="K16" i="11"/>
  <c r="N17" i="11"/>
  <c r="N16" i="11"/>
  <c r="K17" i="11"/>
  <c r="N104" i="11"/>
  <c r="L24" i="13"/>
  <c r="K24" i="13" s="1"/>
  <c r="G24" i="13"/>
  <c r="N24" i="13" s="1"/>
  <c r="G52" i="13"/>
  <c r="N52" i="13" s="1"/>
  <c r="L52" i="13"/>
  <c r="K52" i="13" s="1"/>
  <c r="N53" i="13"/>
  <c r="N43" i="13"/>
  <c r="G18" i="13"/>
  <c r="N18" i="13" s="1"/>
  <c r="L18" i="13"/>
  <c r="K18" i="13" s="1"/>
  <c r="L30" i="13"/>
  <c r="K30" i="13" s="1"/>
  <c r="G30" i="13"/>
  <c r="N30" i="13" s="1"/>
  <c r="I56" i="13"/>
  <c r="H54" i="13"/>
  <c r="H11" i="13"/>
  <c r="L29" i="13"/>
  <c r="K29" i="13" s="1"/>
  <c r="I41" i="13"/>
  <c r="N41" i="13" s="1"/>
  <c r="L22" i="13"/>
  <c r="K22" i="13" s="1"/>
  <c r="H51" i="13"/>
  <c r="I17" i="13"/>
  <c r="N17" i="13" s="1"/>
  <c r="I28" i="13"/>
  <c r="N28" i="13" s="1"/>
  <c r="G38" i="13"/>
  <c r="N38" i="13" s="1"/>
  <c r="G53" i="13"/>
  <c r="H14" i="13"/>
  <c r="H16" i="13"/>
  <c r="H27" i="13"/>
  <c r="E17" i="16"/>
  <c r="H17" i="16"/>
  <c r="G17" i="16"/>
  <c r="F17" i="16"/>
  <c r="K113" i="11" l="1"/>
  <c r="L51" i="13"/>
  <c r="K51" i="13" s="1"/>
  <c r="G51" i="13"/>
  <c r="N51" i="13" s="1"/>
  <c r="L11" i="13"/>
  <c r="H56" i="13"/>
  <c r="H57" i="13" s="1"/>
  <c r="G11" i="13"/>
  <c r="G54" i="13"/>
  <c r="N54" i="13" s="1"/>
  <c r="L54" i="13"/>
  <c r="K54" i="13" s="1"/>
  <c r="G16" i="13"/>
  <c r="N16" i="13" s="1"/>
  <c r="L16" i="13"/>
  <c r="K16" i="13" s="1"/>
  <c r="G27" i="13"/>
  <c r="N27" i="13" s="1"/>
  <c r="L27" i="13"/>
  <c r="K27" i="13" s="1"/>
  <c r="G14" i="13"/>
  <c r="N14" i="13" s="1"/>
  <c r="L14" i="13"/>
  <c r="K14" i="13" s="1"/>
  <c r="G56" i="13" l="1"/>
  <c r="N11" i="13"/>
  <c r="K11" i="13"/>
  <c r="K56" i="13" s="1"/>
  <c r="L56" i="13"/>
  <c r="C7" i="13" l="1"/>
  <c r="C6" i="13"/>
  <c r="C8" i="11" l="1"/>
  <c r="C10" i="11" l="1"/>
  <c r="C11" i="11" s="1"/>
  <c r="C17" i="16" l="1"/>
  <c r="K22" i="16" l="1"/>
  <c r="L22" i="16"/>
  <c r="M22" i="16"/>
  <c r="N22" i="16"/>
  <c r="O22" i="16"/>
  <c r="P22" i="16"/>
  <c r="Q22" i="16"/>
  <c r="R22" i="16"/>
  <c r="U22" i="16"/>
  <c r="V22" i="16"/>
  <c r="X22" i="16"/>
  <c r="F22" i="16"/>
  <c r="T22" i="16"/>
  <c r="C9" i="12"/>
  <c r="C7" i="12"/>
  <c r="D18" i="16" s="1"/>
  <c r="G22" i="16" l="1"/>
  <c r="J17" i="16"/>
  <c r="E22" i="16"/>
  <c r="I22" i="16" l="1"/>
  <c r="H22" i="16"/>
  <c r="W20" i="16" l="1"/>
  <c r="W22" i="16" s="1"/>
  <c r="Y20" i="16" l="1"/>
  <c r="Y21" i="16"/>
  <c r="D20" i="16" l="1"/>
  <c r="J19" i="16" l="1"/>
  <c r="S19" i="16" s="1"/>
  <c r="Y19" i="16" s="1"/>
  <c r="D19" i="16" l="1"/>
  <c r="D22" i="16" s="1"/>
  <c r="Y18" i="16" l="1"/>
  <c r="S27" i="16" l="1"/>
  <c r="J18" i="16"/>
  <c r="J22" i="16" s="1"/>
  <c r="E27" i="16" l="1"/>
  <c r="S26" i="16"/>
  <c r="E26" i="16"/>
  <c r="S17" i="16"/>
  <c r="Y17" i="16" s="1"/>
  <c r="S24" i="16"/>
  <c r="S25" i="16"/>
  <c r="E25" i="16"/>
  <c r="C22" i="16"/>
  <c r="Y22" i="16" l="1"/>
  <c r="S22" i="16"/>
  <c r="E24" i="16"/>
  <c r="E28" i="16" s="1"/>
  <c r="L5" i="13" l="1"/>
</calcChain>
</file>

<file path=xl/comments1.xml><?xml version="1.0" encoding="utf-8"?>
<comments xmlns="http://schemas.openxmlformats.org/spreadsheetml/2006/main">
  <authors>
    <author>Maricela Aranda Lopez</author>
  </authors>
  <commentList>
    <comment ref="W19" authorId="0" shapeId="0">
      <text>
        <r>
          <rPr>
            <b/>
            <sz val="9"/>
            <color indexed="81"/>
            <rFont val="Tahoma"/>
            <family val="2"/>
          </rPr>
          <t xml:space="preserve">CALENTADORES SOLAR
</t>
        </r>
      </text>
    </comment>
  </commentList>
</comments>
</file>

<file path=xl/sharedStrings.xml><?xml version="1.0" encoding="utf-8"?>
<sst xmlns="http://schemas.openxmlformats.org/spreadsheetml/2006/main" count="1591" uniqueCount="792">
  <si>
    <t>DEVENGADO</t>
  </si>
  <si>
    <t>SALDO</t>
  </si>
  <si>
    <t xml:space="preserve"> Autorizado</t>
  </si>
  <si>
    <t>Devengado</t>
  </si>
  <si>
    <t>Saldo</t>
  </si>
  <si>
    <t>Depend. Ejecutora</t>
  </si>
  <si>
    <t>Fecha Autor.</t>
  </si>
  <si>
    <t>Oficio de autorización</t>
  </si>
  <si>
    <t>Descripción de obra</t>
  </si>
  <si>
    <t>Total</t>
  </si>
  <si>
    <t>Modalidad  Ejecución</t>
  </si>
  <si>
    <t>Metas                                                      U.M.         Cantidad</t>
  </si>
  <si>
    <t>Beneficiarios</t>
  </si>
  <si>
    <t>Contratista</t>
  </si>
  <si>
    <t>No. De Contrato</t>
  </si>
  <si>
    <t>T O T A L E S</t>
  </si>
  <si>
    <t>PTTO. ASIGNADO</t>
  </si>
  <si>
    <t>PTTO. AUTORIZADO</t>
  </si>
  <si>
    <r>
      <rPr>
        <b/>
        <sz val="18"/>
        <color indexed="9"/>
        <rFont val="Calibri"/>
        <family val="2"/>
      </rPr>
      <t>SECRETARIA DE FINANZAS PUBLICAS                                                                                                                                                                                                                                                                                                                                                                                                                                                                                             DIRECCION DE EGRESOS</t>
    </r>
  </si>
  <si>
    <t>SOPMA</t>
  </si>
  <si>
    <t>M2</t>
  </si>
  <si>
    <t>“Este Programa es público, ajeno a cualquier partido político. Queda prohibido el uso para fines distintos a los establecidos en el programa”.</t>
  </si>
  <si>
    <t xml:space="preserve">Total </t>
  </si>
  <si>
    <t>Prog.</t>
  </si>
  <si>
    <t>Núm. Obra</t>
  </si>
  <si>
    <t>Federal 2020</t>
  </si>
  <si>
    <t>Av. Financiero</t>
  </si>
  <si>
    <t>Av. Físico</t>
  </si>
  <si>
    <t>Modelo de Adjudicación</t>
  </si>
  <si>
    <t>04</t>
  </si>
  <si>
    <t>CONTRATO</t>
  </si>
  <si>
    <t>SEDESOM</t>
  </si>
  <si>
    <t>PAQUETE</t>
  </si>
  <si>
    <t>RENDIMIENTOS</t>
  </si>
  <si>
    <t>28</t>
  </si>
  <si>
    <t>1200</t>
  </si>
  <si>
    <t>29</t>
  </si>
  <si>
    <t>30</t>
  </si>
  <si>
    <t>31</t>
  </si>
  <si>
    <t>40</t>
  </si>
  <si>
    <t>1497</t>
  </si>
  <si>
    <t>27</t>
  </si>
  <si>
    <t>CCAPAMA</t>
  </si>
  <si>
    <t>32</t>
  </si>
  <si>
    <t>SERVICIO</t>
  </si>
  <si>
    <t>877190</t>
  </si>
  <si>
    <t>33</t>
  </si>
  <si>
    <t>41</t>
  </si>
  <si>
    <t>Gastos Indirectos (Honorarios) Todo el Mpio de Aguascalientes</t>
  </si>
  <si>
    <t>OBRAS</t>
  </si>
  <si>
    <t>42</t>
  </si>
  <si>
    <t>48</t>
  </si>
  <si>
    <t>PROYECTO</t>
  </si>
  <si>
    <t>7835</t>
  </si>
  <si>
    <t>34</t>
  </si>
  <si>
    <t>36</t>
  </si>
  <si>
    <t>37</t>
  </si>
  <si>
    <t>39</t>
  </si>
  <si>
    <t>OBRA</t>
  </si>
  <si>
    <t>450</t>
  </si>
  <si>
    <t>1800</t>
  </si>
  <si>
    <t>750</t>
  </si>
  <si>
    <t>46</t>
  </si>
  <si>
    <t>47</t>
  </si>
  <si>
    <t>50</t>
  </si>
  <si>
    <t>500</t>
  </si>
  <si>
    <t>51</t>
  </si>
  <si>
    <t>52</t>
  </si>
  <si>
    <t>53</t>
  </si>
  <si>
    <t>22/04/021</t>
  </si>
  <si>
    <t>55</t>
  </si>
  <si>
    <t>56</t>
  </si>
  <si>
    <t>57</t>
  </si>
  <si>
    <t>120</t>
  </si>
  <si>
    <t>60</t>
  </si>
  <si>
    <t>61</t>
  </si>
  <si>
    <t>62</t>
  </si>
  <si>
    <t>63</t>
  </si>
  <si>
    <t>64</t>
  </si>
  <si>
    <t>65</t>
  </si>
  <si>
    <t>66</t>
  </si>
  <si>
    <t>INVITACION RESTRINJIDA</t>
  </si>
  <si>
    <t>MAGS CONSTRUCCIONES S.A. C.V.</t>
  </si>
  <si>
    <t>FISMDF-0030-2021</t>
  </si>
  <si>
    <r>
      <t xml:space="preserve">DEPARTAMENTO DE CONTROL PRESUPUESTAL DE LA OBRA PUBLICA Y PROGRAMAS FEDERALES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9"/>
        <rFont val="Calibri"/>
        <family val="2"/>
      </rPr>
      <t xml:space="preserve"> FONDO DE APORTACIÓN PARA EL FORTALECIMIENTO DE LOS MUNICIPIOS Y DEMARCACIONES TERRITORIALES DEL DISTRITO FEDERAL</t>
    </r>
  </si>
  <si>
    <t>FORTAMUN-DF 2021</t>
  </si>
  <si>
    <t>Programa</t>
  </si>
  <si>
    <t>Número de Obra</t>
  </si>
  <si>
    <t>Federal</t>
  </si>
  <si>
    <t>Avance Financiero</t>
  </si>
  <si>
    <t>Avance Físico</t>
  </si>
  <si>
    <t>Modalidad Adjudicación</t>
  </si>
  <si>
    <t>SSP</t>
  </si>
  <si>
    <t>DM</t>
  </si>
  <si>
    <t>001</t>
  </si>
  <si>
    <t>Pago de Sueldos y Pensiones de Seguridad Pública</t>
  </si>
  <si>
    <t>AM</t>
  </si>
  <si>
    <t>Lote</t>
  </si>
  <si>
    <t>_______</t>
  </si>
  <si>
    <t>______</t>
  </si>
  <si>
    <t>0021</t>
  </si>
  <si>
    <t>Adquisicion de Uniformes, Chalecos  de Protección Balistica y Equipamiento para el Personal Operativo adscrito la Secretaría de Seguridad Pública</t>
  </si>
  <si>
    <t>2021-FORTAMUNDF-0022-DM-06-003</t>
  </si>
  <si>
    <t>0022</t>
  </si>
  <si>
    <t>Pago de Combustible para los Vehiculos Adscritos a la Secretaría de Seguridad Pública</t>
  </si>
  <si>
    <t>“Este Programa es público, ajeno a cualquier partido pólitico. Queda prohibido el uso para fines distintos a los establecidos en el programa”.</t>
  </si>
  <si>
    <r>
      <t xml:space="preserve">DEPARTAMENTO DE CONTROL PRESUPUESTAL DE LA OBRA PUBLICA Y PROGRAMAS FEDERALES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indexed="9"/>
        <rFont val="Calibri"/>
        <family val="2"/>
      </rPr>
      <t xml:space="preserve"> PROGRAMA DIRECTO MUNICIPAL (PDM) 2021</t>
    </r>
  </si>
  <si>
    <t>Municipal</t>
  </si>
  <si>
    <t>2</t>
  </si>
  <si>
    <t>APOYOS COMUNITARIOS. TODO EL MUNICIPIO DE AGUASCALEINTES.</t>
  </si>
  <si>
    <t>AD</t>
  </si>
  <si>
    <t>3</t>
  </si>
  <si>
    <t>MANTENIMIENTO Y ADECUACION  DE INFRAESTRUCTURA MUNICIPAL. TODO EL MUNICIPIO DE AGUASCALIENTES.</t>
  </si>
  <si>
    <t>4</t>
  </si>
  <si>
    <t>REHABILITACION DE AREAS PEATONALES Y ATENCIÓN A PETICIONES CIUDADANAS. TODO EL MUNICIPIO DE AGUASCALIENTES. 2020</t>
  </si>
  <si>
    <t>5</t>
  </si>
  <si>
    <t>RESCATANDO NUESTRA ARQUITECTURA. TODO EL MUNICIPIO DE AGUASCALIENTES.</t>
  </si>
  <si>
    <t>6</t>
  </si>
  <si>
    <t>TIRADEROS DE ESCOMBRO TODO EL MUNICIPIO DE AGUASCALIENTES. 2020</t>
  </si>
  <si>
    <t>IE</t>
  </si>
  <si>
    <t>7</t>
  </si>
  <si>
    <t>8</t>
  </si>
  <si>
    <t>REHABILITACION Y MANTENIMIENTO DE VIALIDADES. TODO EL MUNICIPIO DE AGUASCALIENTES. 2020</t>
  </si>
  <si>
    <t>UR</t>
  </si>
  <si>
    <t>9</t>
  </si>
  <si>
    <t>REHABILITACION Y MANTENIMIENTO DE PINTURA EN VIALIDADES, NOMENCLATURAS Y SEÑALAMIENTOS DE PROTECCION DE OBRA. TODO EL MUNICIPIO DE AGUASCALIENTES.</t>
  </si>
  <si>
    <t>10</t>
  </si>
  <si>
    <t>REHABILITACION Y MANTENIMIENTO DE CAMINOS, CALLES Y AREAS DE TERRACERIAS Y CAUSES. TODO EL MUNICIPIO DE AGUASCALIENTES. 2020</t>
  </si>
  <si>
    <t>11</t>
  </si>
  <si>
    <t>REAHABILITACION  SALON DE USOS MULTIPLES (PARQUE INDEPENDENCIA), AV. CONVENCION  1914 ESQ. AV. INDEPENDENCIA, AGUASCALIENTES MPIO.</t>
  </si>
  <si>
    <t>12</t>
  </si>
  <si>
    <t>REMODELACION DE SUBESTACION DE LA DIRECCION MUNICIPAL DE PROTECCION CIVIL DE BOMBEROS Y ATENCION A EMERGENCIAS PRE-HOSPITALARIAS. CALLE GUADALUPE GONZALEZ, C.P. 20130, UNION GANADERA SUBD.</t>
  </si>
  <si>
    <t>15</t>
  </si>
  <si>
    <t>REHABILITACION DE AREAS PEATONALES Y ATENCIÓN A PETICIONES CIUDADANAS. TODO EL MUNICIPIO DE AGUASCALIENTES.</t>
  </si>
  <si>
    <t>16</t>
  </si>
  <si>
    <t>TIRADEROS DE ESCOMBRO. TODO EL MUNICIPIO DE AGUASCALIENTES.</t>
  </si>
  <si>
    <t>17</t>
  </si>
  <si>
    <t>REHABILITACION Y MANTENIMIENTO DE VIALIDADES</t>
  </si>
  <si>
    <t>18</t>
  </si>
  <si>
    <t>REHABILITACION Y MANTENIMIENTO DE CAMINOS, CALLES, AREAS DE TERRACERIAS Y CAUCES. TODO EL MUNICIPIO DE AGUASCALIENTES.</t>
  </si>
  <si>
    <t>ID</t>
  </si>
  <si>
    <t>19</t>
  </si>
  <si>
    <t>ACABADOS Y MOBILIARIO CANCHAS DE TENIS CANAL INTERCEPTOR. TRAMO ENTRE CALLE HIERRO Y AV. UNIVERSIDAD, AGUASCALIENTES MUNICIPIO.</t>
  </si>
  <si>
    <t>C</t>
  </si>
  <si>
    <t>20</t>
  </si>
  <si>
    <t>ESTUDIOS, PROYECTOS Y PERITOS. AGUASCALIENTES MUNICIPIO.</t>
  </si>
  <si>
    <t>23</t>
  </si>
  <si>
    <t>REHABILITACION  DE CUBIERTAS JARDIN DEL MARIACHI, CALLE 5 DE MAYO, ESQUINA CALLE JARDIN DE ZARAGOZA, CENTRO ZONA.</t>
  </si>
  <si>
    <t>EA</t>
  </si>
  <si>
    <t>24</t>
  </si>
  <si>
    <t>ALUMBRADO ORNAMENTAL PUENTE BICENENARIO (ARCOS). AV. AGUASCALIENTES SUR, CRUCE CON BLVD. JOSE MARIA CHAVEZ</t>
  </si>
  <si>
    <t>25</t>
  </si>
  <si>
    <t>CONSTRUCCION DE PAVIMENTO HIDRAULICO AV. AGUASCVALIENTES NORTE (BAJO PUENTE). ENTRE BLVD A ZACATECAS Y CRUCE AV. CONSTITUCION.</t>
  </si>
  <si>
    <t>26</t>
  </si>
  <si>
    <t>CONSTRUCCION DE SOBRE CARPETA ASFALTICA AV. GERONIMO DE LA CUEVA (CALZADA NORTE) . ENTRE AV. POLIDUCTO Y AV. RODRIGO RINCON, VILLA DE NUESTRA SEÑORA DE LA ASUNCION SECTOR GUADALUPE FRACC. 1RA. SECC.</t>
  </si>
  <si>
    <t>35</t>
  </si>
  <si>
    <t>REHABILITACION DE NAVE 2 Y LOCAL DE ACCESO,CENTRO DE ATENCION MUNICIPAL C.A.M. AV. ADOLFO LOPEZ MATEOS S/N, OBRAJE COL.</t>
  </si>
  <si>
    <t>38</t>
  </si>
  <si>
    <t>CONSTRUCCION DE SOBRECARPETA ASFALTICA Y PAVIMENTO HIDRAULICO BLVD. A ZACATECAS (CALZADA ORIENTE). TRAMO ENTRE CALLE EBANO Y AV AGLAYA, LAS ADAS FRACC.</t>
  </si>
  <si>
    <t>43</t>
  </si>
  <si>
    <t>CONSTRUCCION DE SOBRECARPETA ASFALTICA AV. OJOCALIENTE. TRAMO ENTRE AV. RODOLFO LANDEROS GALLEGOS Y CALLE PAULA DE JESUS JIMENEZ YAÑEZ, RODOLFO LANDEROS GALLEGOS FRACC.</t>
  </si>
  <si>
    <t>49</t>
  </si>
  <si>
    <t>REHABILITACION DE NAVE 2  DE CENTRO DE ATENCION  MUNICIPAL C.A.M. (ARCHIVO). AV. ADOLFO LOPEZ MATEOS S/N, OBRAJE COL.</t>
  </si>
  <si>
    <t xml:space="preserve">SECRETARÍA DE FINANZAS PÚBLICAS                                                                                                                                                                                                                                </t>
  </si>
  <si>
    <t>CUADRO RESUMEN</t>
  </si>
  <si>
    <t xml:space="preserve">OBRA PÚBLICA </t>
  </si>
  <si>
    <t>PROGRAMA</t>
  </si>
  <si>
    <t>PRESUPUESTO</t>
  </si>
  <si>
    <t>OBRA PÚBLICA</t>
  </si>
  <si>
    <t xml:space="preserve">PROGRAMAS FEDERALES </t>
  </si>
  <si>
    <t>FINIQUITOS</t>
  </si>
  <si>
    <t xml:space="preserve">RETENCIONES </t>
  </si>
  <si>
    <t>TOTAL EJERCIDO</t>
  </si>
  <si>
    <t>OBRA POR CONTRATO          (6000)</t>
  </si>
  <si>
    <t>OBRA POR ADMINSITRACIÓN</t>
  </si>
  <si>
    <t>TOTAL OBRA PÚBLICA</t>
  </si>
  <si>
    <t>SERVICIOS PERSONALES (1000)</t>
  </si>
  <si>
    <t>MATERIALES Y  (2000)</t>
  </si>
  <si>
    <t>SERVICIOS GENERALES (3000)</t>
  </si>
  <si>
    <t>APOYOS              (4000)</t>
  </si>
  <si>
    <t>BIENES MUEBLES (5000)</t>
  </si>
  <si>
    <t>DEUDA PÚBLICA        (9000)</t>
  </si>
  <si>
    <t>CAPITULO 1000 DE SEGURIDAD PÚBLICA</t>
  </si>
  <si>
    <t>MATERIALES Y SUMINISTROS (2000)</t>
  </si>
  <si>
    <t>SERVICIOS GENERALES            (3000)</t>
  </si>
  <si>
    <t>PROGRAMAS SOCIALES         (4000)</t>
  </si>
  <si>
    <t>ASIGNADO</t>
  </si>
  <si>
    <t>APROBADO</t>
  </si>
  <si>
    <t>MATERIALES Y SUMINISTRO (2000)</t>
  </si>
  <si>
    <t>SOCIAL  (4000)</t>
  </si>
  <si>
    <t>PDM</t>
  </si>
  <si>
    <t>Capitulo</t>
  </si>
  <si>
    <t>LIC. MARICELA ARANDA LÓPEZ</t>
  </si>
  <si>
    <t>DIRECTOR DE EGRESOS</t>
  </si>
  <si>
    <t>JEFA DEL DPTO. DE CONTROL PRESUPUESTAL DE LA O BRA PÚBLICA Y PROGRAMAS FEDERALES</t>
  </si>
  <si>
    <t>JEFA DEL DEPTO DE CTROL PPTAL DE LA OBRA PÚBLICA Y PROGRAMS FEDERALES</t>
  </si>
  <si>
    <t>VARIOS</t>
  </si>
  <si>
    <t xml:space="preserve">INV. RESTRINJIDA </t>
  </si>
  <si>
    <t>J.JESUS BERNAL MARTINEZ</t>
  </si>
  <si>
    <t>DM-0024-2021</t>
  </si>
  <si>
    <t>58</t>
  </si>
  <si>
    <t>CONSTRUCCION DE PAVIMENTO HIDRAULICO Y EMPEDRADO CALLE HERNAN CORTES, TRAMO ENTRE CALLE AGUSTIN  DE ITURBIDE Y CALLE ISABELA CATOLICA, LOS VERGELES  FRACC.</t>
  </si>
  <si>
    <t>76</t>
  </si>
  <si>
    <t>PANTEON MUNICIPAL SAN FRANCISCO 2A. ETAPA, BLVD. SIGLO XXI  SUR NO.3306. FRACC.VILLAS DEL PILAR, AGUASCALIENTES MPIO.</t>
  </si>
  <si>
    <t>77</t>
  </si>
  <si>
    <t>REHABILITACION FUENTE GLORIETA EL QUIJOTE</t>
  </si>
  <si>
    <t>81</t>
  </si>
  <si>
    <t>93</t>
  </si>
  <si>
    <t>CONSTRUCCION  DE MURO PERIMETRAL PANTEON SAN JUAN, CARRETERA 44 AMAPOLAS DEL RIO, JALTOMATE COM.</t>
  </si>
  <si>
    <t>CONVOCATORIA ESTATAL</t>
  </si>
  <si>
    <t>MAQUINARIA Y CONST. CAFA S.A.C.V.</t>
  </si>
  <si>
    <t>FISMDF-0028-2021</t>
  </si>
  <si>
    <t>TRITURADOS Y ASFALTOS TRIANA S.A.C.V.</t>
  </si>
  <si>
    <t>FISMDF-0029-2021</t>
  </si>
  <si>
    <t>OLDA CONSTRUCCIONES S.A.C.V.</t>
  </si>
  <si>
    <t>FISMDF-0031-2021</t>
  </si>
  <si>
    <t>RODCA CONSTRUCCIONES S.A.C.V.</t>
  </si>
  <si>
    <t>FISMDF-0036-2021</t>
  </si>
  <si>
    <t>ALMACO CONST. Y DISEÑO S.A.C.V.</t>
  </si>
  <si>
    <t>FISMDF-0037-2021</t>
  </si>
  <si>
    <t>CONST. DISEÑART S.A.C.V.</t>
  </si>
  <si>
    <t>FISMDF-0050-2021</t>
  </si>
  <si>
    <t>INGENIERIA Y ARQ. H3 S.A.C.V.</t>
  </si>
  <si>
    <t>FISMDF-0051-2021</t>
  </si>
  <si>
    <t>GPO. CONST. AVANTE S.A.C.V.</t>
  </si>
  <si>
    <t>FISMDF-0056-2021</t>
  </si>
  <si>
    <t>ADJ. DIRECTA</t>
  </si>
  <si>
    <t>CONST. PRAGARBA S.A.C.V.</t>
  </si>
  <si>
    <t>FISMDF-0062-2021</t>
  </si>
  <si>
    <t>ARTEK TEC. INT.ARQ. CONST. S. DE R.L. C.V.</t>
  </si>
  <si>
    <t>FISMDF-0066-2021</t>
  </si>
  <si>
    <t>67</t>
  </si>
  <si>
    <t>68</t>
  </si>
  <si>
    <t>550</t>
  </si>
  <si>
    <t>69</t>
  </si>
  <si>
    <t>70</t>
  </si>
  <si>
    <t>71</t>
  </si>
  <si>
    <t>72</t>
  </si>
  <si>
    <t>73</t>
  </si>
  <si>
    <t>74</t>
  </si>
  <si>
    <t>75</t>
  </si>
  <si>
    <t>CAPAMA</t>
  </si>
  <si>
    <t>80</t>
  </si>
  <si>
    <t>SISTEMA</t>
  </si>
  <si>
    <t>1429</t>
  </si>
  <si>
    <t>82</t>
  </si>
  <si>
    <t>250</t>
  </si>
  <si>
    <t>84</t>
  </si>
  <si>
    <t>85</t>
  </si>
  <si>
    <t>86</t>
  </si>
  <si>
    <t>78</t>
  </si>
  <si>
    <t>50000</t>
  </si>
  <si>
    <t>79</t>
  </si>
  <si>
    <t>____</t>
  </si>
  <si>
    <t>FORTALECIMIENTO A LA TRANSVERSALIDAD DE LA PERSPECTIVA DE GÉNERO</t>
  </si>
  <si>
    <r>
      <t xml:space="preserve">FORTALECIMIENTO A LA TRANSVERSALIDAD DE LA PERSPECTIVA DE GÉNERO </t>
    </r>
    <r>
      <rPr>
        <b/>
        <sz val="18"/>
        <color theme="1"/>
        <rFont val="Futura Bk BT"/>
      </rPr>
      <t>(RENDIMIENTOS)</t>
    </r>
  </si>
  <si>
    <t>GPO. REALIZA S.A. C.V.</t>
  </si>
  <si>
    <t>CONST. FLORES HNOS. S.A.C.V.</t>
  </si>
  <si>
    <t>GPO. CONST. KAFRAG S.A.DE C.V.</t>
  </si>
  <si>
    <t>GPO. CONST. EFECTIVO S.A.DE C.V.</t>
  </si>
  <si>
    <t>MAQ. OBRA CIV. E INDUST. 3M S.A.DE C.V.</t>
  </si>
  <si>
    <t>UDICOM. S.A.DE C.V.</t>
  </si>
  <si>
    <t>LM INGENIEROS S.A. DE C.V.</t>
  </si>
  <si>
    <t>CONST. ALV.S.A. DE C.V.</t>
  </si>
  <si>
    <t>LUVI S.A. DE C.V.</t>
  </si>
  <si>
    <t>83</t>
  </si>
  <si>
    <t>92810</t>
  </si>
  <si>
    <t>87</t>
  </si>
  <si>
    <t>90</t>
  </si>
  <si>
    <t>900</t>
  </si>
  <si>
    <t>91</t>
  </si>
  <si>
    <t>96</t>
  </si>
  <si>
    <t>ML</t>
  </si>
  <si>
    <t>2611</t>
  </si>
  <si>
    <t>97</t>
  </si>
  <si>
    <t>98</t>
  </si>
  <si>
    <t>99</t>
  </si>
  <si>
    <t>100</t>
  </si>
  <si>
    <t>101</t>
  </si>
  <si>
    <t>102</t>
  </si>
  <si>
    <t>103</t>
  </si>
  <si>
    <t>106</t>
  </si>
  <si>
    <t>107</t>
  </si>
  <si>
    <t>108</t>
  </si>
  <si>
    <t>LIC. PUBLICA</t>
  </si>
  <si>
    <t>DIST. DAMAGO S.A. C.V.</t>
  </si>
  <si>
    <t>89</t>
  </si>
  <si>
    <t>FISMDF-0027-2021</t>
  </si>
  <si>
    <t>FISMDF-0039-2021</t>
  </si>
  <si>
    <t>FISMDF-0046-2021</t>
  </si>
  <si>
    <t>FISMDF-0047-2021</t>
  </si>
  <si>
    <t>FISMDF-0052-2021</t>
  </si>
  <si>
    <t>FISMDF-0053-2021</t>
  </si>
  <si>
    <t>FISMDF-0055-2021</t>
  </si>
  <si>
    <t>FISMDF-0060-2021</t>
  </si>
  <si>
    <t>FISMDF-0061-2021</t>
  </si>
  <si>
    <t>FISMDF-0063-2021</t>
  </si>
  <si>
    <t>FISMDF-0065-2021</t>
  </si>
  <si>
    <t>FISMDF-0070-2021</t>
  </si>
  <si>
    <t>AD 034/2021</t>
  </si>
  <si>
    <t>_____</t>
  </si>
  <si>
    <t>DM-023-2021</t>
  </si>
  <si>
    <t>CASLOP DISEÑO,ARTE Y CONSTRUCCIÓN, S.A. DE C.V.</t>
  </si>
  <si>
    <t>92</t>
  </si>
  <si>
    <t>CONSTRUCCION DE MURO PERIMETRAL PANTEON CALVILLITO. AV. GUADALUPE NAJERA JIMENEZ Y AV. REVOLUCIÓN CALVILLITO COM.</t>
  </si>
  <si>
    <t>C.P. JOSÉ ALFREDO RAMIREZ PÉREZ MALDONADO</t>
  </si>
  <si>
    <t>CONST. LOPEZ CALVILLO</t>
  </si>
  <si>
    <t>FISMDF-0034-2021</t>
  </si>
  <si>
    <t>CASLOP DISEÑO ARTE CONST.S.A.CV.</t>
  </si>
  <si>
    <t>CONST. LMI S.A. C.V.</t>
  </si>
  <si>
    <t>FISMDF-0069-2021</t>
  </si>
  <si>
    <t>PIEL DE CONCRETO S.A. C.V.</t>
  </si>
  <si>
    <t>FISMDF-0071-2021</t>
  </si>
  <si>
    <t>GPO. AXOZAC S.A.C.V.</t>
  </si>
  <si>
    <t>FISMDF-0072-2021</t>
  </si>
  <si>
    <t>SALINAS LARUMBE DIS. Y CONST. S.A.CV.</t>
  </si>
  <si>
    <t>FISMDF-0073-2021</t>
  </si>
  <si>
    <t>PUBLICA ESTATAL</t>
  </si>
  <si>
    <t>PERFORADORA DE AGS.S.A.CV.</t>
  </si>
  <si>
    <t>FISMDF-CAP-01-2021</t>
  </si>
  <si>
    <t>FISMDF-0084-2021</t>
  </si>
  <si>
    <t>GPO. CONST. EFECTIVO S.A.C.V.</t>
  </si>
  <si>
    <t>FISMDF-0085-2021</t>
  </si>
  <si>
    <t>CVH EDIFICACIONES S.A.C.V.</t>
  </si>
  <si>
    <t>FISMDF-0086-2021</t>
  </si>
  <si>
    <t>CONST. CALVILLO S.A. C.V.</t>
  </si>
  <si>
    <t>FISMDF-0106-2021</t>
  </si>
  <si>
    <t>112</t>
  </si>
  <si>
    <t>113</t>
  </si>
  <si>
    <t>Construcción de 25 Recamaras Planta Baja Vario Puntos del Municipio Ags.</t>
  </si>
  <si>
    <t>VIVIENDA</t>
  </si>
  <si>
    <t>114</t>
  </si>
  <si>
    <t>Construcción de 25 Recamaras Planta Alta Vario Puntos del Municipio Ags.</t>
  </si>
  <si>
    <t>116</t>
  </si>
  <si>
    <t>117</t>
  </si>
  <si>
    <t>59740</t>
  </si>
  <si>
    <t>118</t>
  </si>
  <si>
    <t>30112</t>
  </si>
  <si>
    <t>LAURA ZULEMA TORRES</t>
  </si>
  <si>
    <t>RIC INGENIERIA S.A.C.V.</t>
  </si>
  <si>
    <t>FISMDF-0042-2021</t>
  </si>
  <si>
    <t>CONV.ESTATAL</t>
  </si>
  <si>
    <t>ATECO,S.A. DE C.V.</t>
  </si>
  <si>
    <t>DM-0025-2021</t>
  </si>
  <si>
    <t>CONSTRUCTORA FLORES HERMANOS</t>
  </si>
  <si>
    <t>DM-0026-2021</t>
  </si>
  <si>
    <t>INV. RESTRINGIDA</t>
  </si>
  <si>
    <t>DAVILA RAMIREZ ARENTSEN I.C..</t>
  </si>
  <si>
    <t>DM-0049-2021</t>
  </si>
  <si>
    <t>GLG INGENIEROS,S.A. DE C.V.</t>
  </si>
  <si>
    <t>DM-0058-2021</t>
  </si>
  <si>
    <t>INV. RESTRINJIDA  ESTATAL</t>
  </si>
  <si>
    <t>MCB MAQUINARIA  Y CONSTRUCCIONES, S.A. DE C.V.</t>
  </si>
  <si>
    <t>DM-0076-2021</t>
  </si>
  <si>
    <t>MA.ZARAGOZA GALVAN</t>
  </si>
  <si>
    <t>FISMDF-057-2021</t>
  </si>
  <si>
    <t>GCVICA S.A. DE C.V.</t>
  </si>
  <si>
    <t>FISMDF-064-2021</t>
  </si>
  <si>
    <t>DAVID ARELLANO DELGADO</t>
  </si>
  <si>
    <t>FISMDF-067-2021</t>
  </si>
  <si>
    <t>FISMDF-074-2021</t>
  </si>
  <si>
    <t>ALTA TORSION CONSTRUCTORA S.A.CV.</t>
  </si>
  <si>
    <t>FISMDF-075-2021</t>
  </si>
  <si>
    <t>ROKEMM ARQUITECTURA S.A.C.V.</t>
  </si>
  <si>
    <t>FISMDF-082-2021</t>
  </si>
  <si>
    <t>METRICA DISEÑO Y CONST.S.A.C.V.</t>
  </si>
  <si>
    <t>FISMDF-083-2021</t>
  </si>
  <si>
    <t>CONST. OBRA DE AGS. S.A.C.V.</t>
  </si>
  <si>
    <t>FISMDF-087-2021</t>
  </si>
  <si>
    <t>FISMDF-090-2021</t>
  </si>
  <si>
    <t>FISMDF-091-2021</t>
  </si>
  <si>
    <t>MAQ. URB. EDIFICACIONES HIDROCALIDAS</t>
  </si>
  <si>
    <t>FISMDF-096-2021</t>
  </si>
  <si>
    <t>TERRENOS ESTRATEGICOS S.A C.V.</t>
  </si>
  <si>
    <t>FISMDF-097-2021</t>
  </si>
  <si>
    <t>RODCA CONST. S.A. C.V.</t>
  </si>
  <si>
    <t>FISMDF-098-2021</t>
  </si>
  <si>
    <t>GPO. CONST. CONSEGA S.A. C.V.</t>
  </si>
  <si>
    <t>FISMDF-099-2021</t>
  </si>
  <si>
    <t>FISMDF-0101-2021</t>
  </si>
  <si>
    <t>COPZA S. DE R.L. DE C.V.</t>
  </si>
  <si>
    <t>FISMDF-0102-2021</t>
  </si>
  <si>
    <t>DINAMICA ALRO S.A. C.V.</t>
  </si>
  <si>
    <t>FISMDF-0107-2021</t>
  </si>
  <si>
    <t>FISMDF-0108-2021</t>
  </si>
  <si>
    <t>121</t>
  </si>
  <si>
    <t>122</t>
  </si>
  <si>
    <t>123</t>
  </si>
  <si>
    <t>124</t>
  </si>
  <si>
    <t>125</t>
  </si>
  <si>
    <t>126</t>
  </si>
  <si>
    <t>400</t>
  </si>
  <si>
    <t>127</t>
  </si>
  <si>
    <t>128</t>
  </si>
  <si>
    <t>129</t>
  </si>
  <si>
    <t>130</t>
  </si>
  <si>
    <t>REHABILITACION Y ADECUACION DE ESPACIOS. TODO EL MUNICIPIO DE AGUASCALIENTES</t>
  </si>
  <si>
    <t>DIR. ESTATAL</t>
  </si>
  <si>
    <t>EMULSIONES ASFALTICAS DE AGUASCALIENTES, S.A. DE C.V.</t>
  </si>
  <si>
    <t>DM-011-2021</t>
  </si>
  <si>
    <t>FERNANDO DE JESUS ESPARZA ORTIZ</t>
  </si>
  <si>
    <t>DM-0012-2021</t>
  </si>
  <si>
    <t>GERARDO ALEJANDRO ROSALES GUTIERREZ</t>
  </si>
  <si>
    <t>DM-0019-2021</t>
  </si>
  <si>
    <t>CONSTRUCTORA VALDEZ RODRIGUEZ,  S.A. DE C.V.</t>
  </si>
  <si>
    <t>TRITURADOS Y ASFALTOS TRIANA, S.A. DE C.V.</t>
  </si>
  <si>
    <t>DM-0035-2021</t>
  </si>
  <si>
    <t>CEPROYEG ELECTRICO Y CONSTRUCCIONES, S.A. DE C.V.</t>
  </si>
  <si>
    <t>DM-0038-2021</t>
  </si>
  <si>
    <t>DM-0043-2021</t>
  </si>
  <si>
    <t>INV. RESTRINJIDA</t>
  </si>
  <si>
    <t>CESAR ALEXIS MUÑOZ GOMEZ</t>
  </si>
  <si>
    <t>DM-0077-2021</t>
  </si>
  <si>
    <t>CONSTRUCCION DE SOBRECARPETA ASFALTICA AV. AGUASCALIENTES ORIENTE. TRAMO ENTRE CALLE UXMAL Y AV. PASEO DE OJOCALIENTE,AGUASCALIENTES</t>
  </si>
  <si>
    <t>MAQUINARIA, URBANIZACIONES Y EDIFICACIONES HIDROCALIDAS S.A. DE C.V.</t>
  </si>
  <si>
    <t>DM-0081-2021</t>
  </si>
  <si>
    <t>GRUPO FUSION AGUACALIENTES S.A. DE C.V.</t>
  </si>
  <si>
    <t>DM-0093-2021</t>
  </si>
  <si>
    <t>2021-FORTAMUNDF-0001-001-DM-06-001 MOD. I</t>
  </si>
  <si>
    <t>Licitación Pública Nacional</t>
  </si>
  <si>
    <t>Grupo Tactex S.A. de C.V.</t>
  </si>
  <si>
    <t>AD/019/ 2021</t>
  </si>
  <si>
    <t>JOSE MANUEL YAÑEZ</t>
  </si>
  <si>
    <t>FISMDF-0100-2021</t>
  </si>
  <si>
    <t>SAN CAYETANO CONST. S.A.C.V.</t>
  </si>
  <si>
    <t>FISMDF-0112-2021</t>
  </si>
  <si>
    <t>GPO. CONST. URBANO AVANTE S.A.C.V.</t>
  </si>
  <si>
    <t>FISMDF-0113-2021</t>
  </si>
  <si>
    <t>YARKAR S.A.C.V.</t>
  </si>
  <si>
    <t>FISMDF-0114-2021</t>
  </si>
  <si>
    <t>119</t>
  </si>
  <si>
    <t>5502</t>
  </si>
  <si>
    <t>FISMDF-0120-2021</t>
  </si>
  <si>
    <t>EDGAR GOMEZ CANTU</t>
  </si>
  <si>
    <t>FISMDF-0121-2021</t>
  </si>
  <si>
    <t>ACHER CONST. ABAST. ELECTROM S.A. C.V.</t>
  </si>
  <si>
    <t>FISMDF-0122-2021</t>
  </si>
  <si>
    <t xml:space="preserve">CAPAMA </t>
  </si>
  <si>
    <t>136</t>
  </si>
  <si>
    <t>137</t>
  </si>
  <si>
    <t>138</t>
  </si>
  <si>
    <t>139</t>
  </si>
  <si>
    <t>140</t>
  </si>
  <si>
    <r>
      <t>Gastos Indirectos (  Servicios Profecionales) Todo el Mpio de Aguascalientes</t>
    </r>
    <r>
      <rPr>
        <b/>
        <sz val="11"/>
        <rFont val="Futura Bk BT"/>
      </rPr>
      <t>(CANCELADA)</t>
    </r>
  </si>
  <si>
    <r>
      <t>Adecuacion 2o Nivel Edificio de Conservación y Mantenimiento de Obra Parque de Maquinaria SOPMA Av. Heroe Inmortal km 4.5 Fracc. San Sebastian</t>
    </r>
    <r>
      <rPr>
        <b/>
        <sz val="11"/>
        <rFont val="Futura Bk BT"/>
      </rPr>
      <t>(CANCELADA)</t>
    </r>
  </si>
  <si>
    <t>2021-FISMDF-0105-1238-064</t>
  </si>
  <si>
    <t>105</t>
  </si>
  <si>
    <t>Prodim 2021 Adquisicion de Software y Hardware Ags. Juan de Montoro 124 y 111</t>
  </si>
  <si>
    <t>4000</t>
  </si>
  <si>
    <t>ORTIZ GAMEZ JOSE ASUNCION</t>
  </si>
  <si>
    <t>DM-0092-2021</t>
  </si>
  <si>
    <t>131</t>
  </si>
  <si>
    <t>REMODELACION AREA DE RECURSOS HUMANOS (PLANTA ALTA) SECRETAROIA DE ADMINISTRACION. PALACIO MUNICIPAL. CENTRO ZONA</t>
  </si>
  <si>
    <t>GRUPO CONSTRUCTOR KAFRAGS S.A. DE C.V.</t>
  </si>
  <si>
    <t>DM-0131-2021</t>
  </si>
  <si>
    <t>132</t>
  </si>
  <si>
    <t>ADECUACION 2° NIVEL EDIFICIO DE CONSERVACION Y MANTENIMIENTO DE OBRA. AV. HEROE INMORTAL KM.4.5 PARQUE DE MAQUINARIA SOPMA, SAN SEBASTIAN FRACC.</t>
  </si>
  <si>
    <t>GRUPO INDUSTRIAL INTERNACIONAL AIRE S.A. DE C.V.</t>
  </si>
  <si>
    <t>DM-0132-2021</t>
  </si>
  <si>
    <t>133</t>
  </si>
  <si>
    <t>REMODELACION DIRECCION DE TURISMO, SECRETARIA DE ECONOMIA SOCIAL Y TURISMO. PALACIO MUNICIPAL. CENTRO ZONA.</t>
  </si>
  <si>
    <t>DM-0133-2021</t>
  </si>
  <si>
    <t>134</t>
  </si>
  <si>
    <t>RHABILITACION  DE MODULO TIPO 1, ANDADOR CULTURAL ALAMEDA, AGUASCALIENTES MPIO.</t>
  </si>
  <si>
    <t>135</t>
  </si>
  <si>
    <t>RHABILITACION  DE MODULO TIPO 2, ANDADOR CULTURAL ALAMEDA, AV.ALAMEDA, AGUASCA MPIO.</t>
  </si>
  <si>
    <t>141</t>
  </si>
  <si>
    <t>EXTENSIÓN DE RED SECUNDARIA PARA ALIMENTACION DE MODULOS ANDADOR CULTURAL ALAMEDA, AGUASCALIENTES MPIO.</t>
  </si>
  <si>
    <t>142</t>
  </si>
  <si>
    <t>SOBRECARPETA ASFALTICA CALLE DR. JESUS DIAZ DE LEON, TRAMO ENTRE CALLE LEONA VICARIO Y CALLE ABASOLO, EL ENCINO BARRIO.</t>
  </si>
  <si>
    <r>
      <t xml:space="preserve">2020-PDM-0004-006-DM-06-003 </t>
    </r>
    <r>
      <rPr>
        <b/>
        <sz val="11"/>
        <rFont val="Futura Bk BT"/>
      </rPr>
      <t>FINAL</t>
    </r>
  </si>
  <si>
    <r>
      <t xml:space="preserve">2020-PDM-0006-004-DM-05-005 </t>
    </r>
    <r>
      <rPr>
        <b/>
        <sz val="11"/>
        <rFont val="Futura Bk BT"/>
      </rPr>
      <t>FINAL</t>
    </r>
  </si>
  <si>
    <r>
      <t xml:space="preserve">2020-PDM-0008-010-UR-05-001 </t>
    </r>
    <r>
      <rPr>
        <b/>
        <sz val="11"/>
        <rFont val="Futura Bk BT"/>
      </rPr>
      <t>FINAL</t>
    </r>
  </si>
  <si>
    <r>
      <t xml:space="preserve">2020-PDM-0010-005-DM-06-006 </t>
    </r>
    <r>
      <rPr>
        <b/>
        <sz val="11"/>
        <rFont val="Futura Bk BT"/>
      </rPr>
      <t>FINAL</t>
    </r>
  </si>
  <si>
    <r>
      <t xml:space="preserve">2021-PDM-0011-DM-001-05-001 </t>
    </r>
    <r>
      <rPr>
        <b/>
        <sz val="11"/>
        <rFont val="Futura Bk BT"/>
      </rPr>
      <t>FINAL</t>
    </r>
  </si>
  <si>
    <r>
      <t xml:space="preserve">2021-PDM-0012-001-DM-05-002 </t>
    </r>
    <r>
      <rPr>
        <b/>
        <sz val="11"/>
        <rFont val="Futura Bk BT"/>
      </rPr>
      <t>FINAL</t>
    </r>
  </si>
  <si>
    <r>
      <t xml:space="preserve">2021-PDM-0019-001-ID-04-001 </t>
    </r>
    <r>
      <rPr>
        <b/>
        <sz val="11"/>
        <rFont val="Futura Bk BT"/>
      </rPr>
      <t>FINAL</t>
    </r>
  </si>
  <si>
    <r>
      <t xml:space="preserve">2021-PDM-0023-002-DM-04-013 </t>
    </r>
    <r>
      <rPr>
        <b/>
        <sz val="11"/>
        <rFont val="Futura Bk BT"/>
      </rPr>
      <t>FINAL</t>
    </r>
  </si>
  <si>
    <r>
      <t xml:space="preserve">2021-PDM-0024-001-EA-01-001 </t>
    </r>
    <r>
      <rPr>
        <b/>
        <sz val="11"/>
        <rFont val="Futura Bk BT"/>
      </rPr>
      <t>FINAL</t>
    </r>
  </si>
  <si>
    <r>
      <t xml:space="preserve">2021-PDM-0026-001-UR-01-006 </t>
    </r>
    <r>
      <rPr>
        <b/>
        <sz val="11"/>
        <rFont val="Futura Bk BT"/>
      </rPr>
      <t>FINAL</t>
    </r>
  </si>
  <si>
    <r>
      <t xml:space="preserve">2021-PDM-0035-001-DM-05-014 </t>
    </r>
    <r>
      <rPr>
        <b/>
        <sz val="11"/>
        <rFont val="Futura Bk BT"/>
      </rPr>
      <t>FINAL</t>
    </r>
  </si>
  <si>
    <r>
      <t xml:space="preserve">2021-PDM-0038-001-UR-01-007 </t>
    </r>
    <r>
      <rPr>
        <b/>
        <sz val="11"/>
        <rFont val="Futura Bk BT"/>
      </rPr>
      <t>FINAL</t>
    </r>
  </si>
  <si>
    <r>
      <t xml:space="preserve">2021-PDM-0043-002-UR-01-008 </t>
    </r>
    <r>
      <rPr>
        <b/>
        <sz val="11"/>
        <rFont val="Futura Bk BT"/>
      </rPr>
      <t>FINAL</t>
    </r>
  </si>
  <si>
    <r>
      <t xml:space="preserve">2021-PDM-0076-001-DM-05-016 </t>
    </r>
    <r>
      <rPr>
        <b/>
        <sz val="11"/>
        <rFont val="Futura Bk BT"/>
      </rPr>
      <t>FINAL</t>
    </r>
  </si>
  <si>
    <r>
      <t xml:space="preserve">2021-PDM-0081-001-UR-01-012 </t>
    </r>
    <r>
      <rPr>
        <b/>
        <sz val="11"/>
        <rFont val="Futura Bk BT"/>
      </rPr>
      <t>FINAL</t>
    </r>
  </si>
  <si>
    <t>S</t>
  </si>
  <si>
    <t>143</t>
  </si>
  <si>
    <t>OBRA CIVIL Y BORDO, RELLENO SANITARIO SAN NICOLAS, KILOMETRO 9.3 CARRETARA A SAN NICOLAS, JOSE MARIA MORELOS, SAN NICOLAS COM.</t>
  </si>
  <si>
    <t>DIR ESTATAL</t>
  </si>
  <si>
    <t>VELASER, S.A. DE C.V.</t>
  </si>
  <si>
    <t>DM-0143-2021</t>
  </si>
  <si>
    <t>148</t>
  </si>
  <si>
    <t>EQUIPAMIENTO, RELLENO SANITARIO SAN NICOLAS, KILOMETRO 9.3 CARRETERA A SAN  JOSE MARIA MORELOS, SAN NICOLAS COM.</t>
  </si>
  <si>
    <t>INV. RESTRIGIDA</t>
  </si>
  <si>
    <t>CONSTRUCTORA CALVILLO, S.A. DE C.V.</t>
  </si>
  <si>
    <t>DM-0148-2021</t>
  </si>
  <si>
    <t>GPO. CONST. MED CER S.A.C.V.</t>
  </si>
  <si>
    <t>FISMDF-0103-2021</t>
  </si>
  <si>
    <t>FISMDF-CAP-04-2021</t>
  </si>
  <si>
    <t>FISMDF-CAP-05-2021</t>
  </si>
  <si>
    <t>CODEPRO CONST. S.A.C.V.</t>
  </si>
  <si>
    <t>FISMDF-CAP-07-2021</t>
  </si>
  <si>
    <t>JOSMAR CONST. S.A.C.V.</t>
  </si>
  <si>
    <t>FISMDF-CAP-06-2021</t>
  </si>
  <si>
    <t>FISMDF-0123-2021</t>
  </si>
  <si>
    <t>GPO. FUSION AGS.S.A. C.V.</t>
  </si>
  <si>
    <t>FISMDF-0124-2021</t>
  </si>
  <si>
    <t>GDO ALEJANDRO ROSALES</t>
  </si>
  <si>
    <t>FISMDF-0125-2021</t>
  </si>
  <si>
    <t>FISMDF-0126-2021</t>
  </si>
  <si>
    <t>FISMDF-0127-2021</t>
  </si>
  <si>
    <t>FISMDF-0128-2021</t>
  </si>
  <si>
    <t>FISMDF-0129-2021</t>
  </si>
  <si>
    <t>FISMDF-0130-2021</t>
  </si>
  <si>
    <t>H&amp;P URB. EDIFICACIONES Y SERV.S.A. C.V.</t>
  </si>
  <si>
    <t>FISMDF-CAP-08-2021</t>
  </si>
  <si>
    <t>CONS. INDUST. INT. AIRE S.A.C.V.</t>
  </si>
  <si>
    <t>FISMDF-0137-2021</t>
  </si>
  <si>
    <t>FISMDF-0138-2021</t>
  </si>
  <si>
    <t>ATECO S.A. C.V.</t>
  </si>
  <si>
    <t>FISMDF-0139-2021</t>
  </si>
  <si>
    <t>FISMDF-0140-2021</t>
  </si>
  <si>
    <t>144</t>
  </si>
  <si>
    <t>ZIRAHUEN PLAN.Y CONST. S.A.C.V.</t>
  </si>
  <si>
    <t>FISMDF-0144-2021</t>
  </si>
  <si>
    <t>146</t>
  </si>
  <si>
    <t>3012</t>
  </si>
  <si>
    <t>ELEC. BOMBAS SUMERGIBLES S.A. C.V.</t>
  </si>
  <si>
    <t>FISMDF-CAP-09-2021</t>
  </si>
  <si>
    <t>149</t>
  </si>
  <si>
    <t>4451</t>
  </si>
  <si>
    <t>FISMDF-CAP-10-2021</t>
  </si>
  <si>
    <t>150</t>
  </si>
  <si>
    <t>Muros de Contención Canchas de Usos Multiples V.N.S.A. Av. Jose de Jesus Glez.</t>
  </si>
  <si>
    <t>151</t>
  </si>
  <si>
    <t>156</t>
  </si>
  <si>
    <t>Sobrecarpeta Asfaltica en C. Pedro Parga entre C. Morelos y Ignacio Zaragoza Mpio. Ags.</t>
  </si>
  <si>
    <t>157</t>
  </si>
  <si>
    <t>GPO.CONST. CONSEGA S.A.C.V.</t>
  </si>
  <si>
    <t>FISMDF-0157-2021</t>
  </si>
  <si>
    <t>158</t>
  </si>
  <si>
    <t>ADMON</t>
  </si>
  <si>
    <t>111</t>
  </si>
  <si>
    <t>300000</t>
  </si>
  <si>
    <r>
      <t xml:space="preserve">2021-PDM-0049-001-DM-05-015 </t>
    </r>
    <r>
      <rPr>
        <b/>
        <sz val="11"/>
        <rFont val="Futura Bk BT"/>
      </rPr>
      <t>FINAL</t>
    </r>
  </si>
  <si>
    <r>
      <t xml:space="preserve">2021-PDM-0058-001-UR-01-009 </t>
    </r>
    <r>
      <rPr>
        <b/>
        <sz val="11"/>
        <rFont val="Futura Bk BT"/>
      </rPr>
      <t>FINAL</t>
    </r>
  </si>
  <si>
    <r>
      <t xml:space="preserve">2021-PDM-0093-001-DM-05-018 </t>
    </r>
    <r>
      <rPr>
        <b/>
        <sz val="11"/>
        <rFont val="Futura Bk BT"/>
      </rPr>
      <t>FINAL</t>
    </r>
  </si>
  <si>
    <r>
      <t xml:space="preserve">2021-PDM-0133-001-DM-05-021 </t>
    </r>
    <r>
      <rPr>
        <b/>
        <sz val="11"/>
        <rFont val="Futura Bk BT"/>
      </rPr>
      <t>FINAL</t>
    </r>
  </si>
  <si>
    <t>EQUIPOS AK. S.A DE C.V.</t>
  </si>
  <si>
    <t>DM-0135-2021</t>
  </si>
  <si>
    <t>EQUIPOS PROCESADOS DE LA CONSTRUCCION  SATUOBRAS,S.A DE C.V.</t>
  </si>
  <si>
    <t>DM-0136-2021</t>
  </si>
  <si>
    <t>SUBESTACION DEL CENTRO, S.A. DE C.V.</t>
  </si>
  <si>
    <t>DM-0141-2021</t>
  </si>
  <si>
    <t>152</t>
  </si>
  <si>
    <t>PAVIMENTO HIDRAULICO Y EMPEDRADO CALLE HERNAN CORTES. ETAPA 02, TRAMO ENTRE CALLE ISABEL LA CATOLICA Y CALLE AGUSTIN DE ITURBIDE, LOS VERGELES FRACC.</t>
  </si>
  <si>
    <t>DM-0152-2021</t>
  </si>
  <si>
    <t>153</t>
  </si>
  <si>
    <t>REHABILITACION  C.A.D. CENTRO PONIENTE, PROLONGACION PASEO DE LA ASUNCION, BOULEVARES FRACC. 1A. SECC.</t>
  </si>
  <si>
    <t>DM-0153-2021</t>
  </si>
  <si>
    <t>154</t>
  </si>
  <si>
    <t>MODULO DE BAÑOS, SECRETARIA DE SERVICIOS PUBLICOS, AV. UNIVERSIDAD, ESQUINA CALLE SILVESTRE GOMEZ, UNION GANADERA SUBD.</t>
  </si>
  <si>
    <t>DM-0154-2021</t>
  </si>
  <si>
    <t>155</t>
  </si>
  <si>
    <t>REHABILITACION Y ADECUACION DE AREAS SEDUM, SECRETARIA DE DESARROLLO URBANO MUNICIPAL, AGUASCALIENTES MUNICIPIO.</t>
  </si>
  <si>
    <t>DM-0155-2021</t>
  </si>
  <si>
    <t xml:space="preserve"> RENDIMIENTOS</t>
  </si>
  <si>
    <t>_______________________________________</t>
  </si>
  <si>
    <t>_____________________________</t>
  </si>
  <si>
    <t xml:space="preserve">FONDO DE APORTACIONES PARA LA INFRAESTRUCTURA SOCIAL MUNICIPAL Y DE LAS DEMARCACIONES TERRITORIALES DEL DISTRITO FEDERAL </t>
  </si>
  <si>
    <r>
      <t xml:space="preserve">2021-PDM-0134-001-DM-05-022 </t>
    </r>
    <r>
      <rPr>
        <b/>
        <sz val="11"/>
        <rFont val="Futura Bk BT"/>
      </rPr>
      <t>FINAL</t>
    </r>
  </si>
  <si>
    <r>
      <t xml:space="preserve">2021-PDM-0135-001-DM-05-023 </t>
    </r>
    <r>
      <rPr>
        <b/>
        <sz val="11"/>
        <rFont val="Futura Bk BT"/>
      </rPr>
      <t>FINAL</t>
    </r>
  </si>
  <si>
    <r>
      <t xml:space="preserve">2021-PDM-0141-001-EA-01-002 </t>
    </r>
    <r>
      <rPr>
        <b/>
        <sz val="11"/>
        <rFont val="Futura Bk BT"/>
      </rPr>
      <t>FINAL</t>
    </r>
  </si>
  <si>
    <r>
      <t xml:space="preserve">2021-PDM-0142-001-UR-01-014 </t>
    </r>
    <r>
      <rPr>
        <b/>
        <sz val="11"/>
        <rFont val="Futura Bk BT"/>
      </rPr>
      <t>FINAL</t>
    </r>
  </si>
  <si>
    <t>GRUPO REALIZA S.A. DE C.V.</t>
  </si>
  <si>
    <t>DM-0142-2021</t>
  </si>
  <si>
    <r>
      <t xml:space="preserve">2021-PDM-0143-S5-02-002 </t>
    </r>
    <r>
      <rPr>
        <b/>
        <sz val="11"/>
        <rFont val="Futura Bk BT"/>
      </rPr>
      <t>FINAL</t>
    </r>
  </si>
  <si>
    <r>
      <t xml:space="preserve">2021-PDM-0148-001-S5-02-003 </t>
    </r>
    <r>
      <rPr>
        <b/>
        <sz val="11"/>
        <rFont val="Futura Bk BT"/>
      </rPr>
      <t>FINAL</t>
    </r>
  </si>
  <si>
    <t>CONSTRUCCIONES, URBANIZACIONES Y EDIFICACIONES MIRELES, S.A. DE C.V.</t>
  </si>
  <si>
    <t>CONSORCIO INDUSTRIAL INTERNACIONAL AIRE, S.A. DE C.V.</t>
  </si>
  <si>
    <r>
      <t xml:space="preserve">2021-PDM-0002-005-DM-06-003 MOD. V </t>
    </r>
    <r>
      <rPr>
        <b/>
        <sz val="11"/>
        <rFont val="Futura Bk BT"/>
      </rPr>
      <t>FINAL</t>
    </r>
  </si>
  <si>
    <r>
      <t xml:space="preserve">2021-PDM-0003-005-DM-05-004 MOD. V </t>
    </r>
    <r>
      <rPr>
        <b/>
        <sz val="11"/>
        <rFont val="Futura Bk BT"/>
      </rPr>
      <t>FINAL</t>
    </r>
  </si>
  <si>
    <r>
      <t xml:space="preserve">2021-PDM-0005-004-DM-06-006 MOD. IV </t>
    </r>
    <r>
      <rPr>
        <b/>
        <sz val="11"/>
        <rFont val="Futura Bk BT"/>
      </rPr>
      <t>FINAL</t>
    </r>
  </si>
  <si>
    <r>
      <t xml:space="preserve">2021-PDM-0007-004-IE-03-001 MOD. IV </t>
    </r>
    <r>
      <rPr>
        <b/>
        <sz val="11"/>
        <rFont val="Futura Bk BT"/>
      </rPr>
      <t>FINAL</t>
    </r>
  </si>
  <si>
    <r>
      <t xml:space="preserve">2021-PDM-0009-005-UR-05-003 MOD.V </t>
    </r>
    <r>
      <rPr>
        <b/>
        <sz val="11"/>
        <rFont val="Futura Bk BT"/>
      </rPr>
      <t>FINAL</t>
    </r>
  </si>
  <si>
    <r>
      <t xml:space="preserve">2021-PDM-0015-007-DM-05-009 MOD. VII </t>
    </r>
    <r>
      <rPr>
        <b/>
        <sz val="11"/>
        <rFont val="Futura Bk BT"/>
      </rPr>
      <t>FINAL</t>
    </r>
  </si>
  <si>
    <r>
      <t xml:space="preserve">2021-PDM-0016-002-DM-05-010 MOD. II  </t>
    </r>
    <r>
      <rPr>
        <b/>
        <sz val="11"/>
        <rFont val="Futura Bk BT"/>
      </rPr>
      <t>FINAL</t>
    </r>
  </si>
  <si>
    <r>
      <t xml:space="preserve">2021-PDM-0017-012-UR-05-004 MOD. XII  </t>
    </r>
    <r>
      <rPr>
        <b/>
        <sz val="11"/>
        <rFont val="Futura Bk BT"/>
      </rPr>
      <t>FINAL</t>
    </r>
  </si>
  <si>
    <r>
      <t xml:space="preserve">2021-PDM-0018-004-DM-06-011 MOD. IV </t>
    </r>
    <r>
      <rPr>
        <b/>
        <sz val="11"/>
        <rFont val="Futura Bk BT"/>
      </rPr>
      <t>FINAL</t>
    </r>
  </si>
  <si>
    <r>
      <t xml:space="preserve">2021-PDM-0020-002-DM-01-012 MOD. II  </t>
    </r>
    <r>
      <rPr>
        <b/>
        <sz val="11"/>
        <rFont val="Futura Bk BT"/>
      </rPr>
      <t>FINAL</t>
    </r>
  </si>
  <si>
    <r>
      <t xml:space="preserve">2021-PDM-0025-001-UR-01-005 MOD. I  </t>
    </r>
    <r>
      <rPr>
        <b/>
        <sz val="11"/>
        <rFont val="Futura Bk BT"/>
      </rPr>
      <t>FINAL</t>
    </r>
  </si>
  <si>
    <r>
      <t xml:space="preserve">2021-PDM-0077-UR-04-011  </t>
    </r>
    <r>
      <rPr>
        <b/>
        <sz val="11"/>
        <rFont val="Futura Bk BT"/>
      </rPr>
      <t>FINAL</t>
    </r>
  </si>
  <si>
    <r>
      <t xml:space="preserve">2021-PDM-0092-DM-05-017  </t>
    </r>
    <r>
      <rPr>
        <b/>
        <sz val="11"/>
        <rFont val="Futura Bk BT"/>
      </rPr>
      <t>FINAL</t>
    </r>
  </si>
  <si>
    <r>
      <t xml:space="preserve">2021-PDM-0131-DM-05-019  </t>
    </r>
    <r>
      <rPr>
        <b/>
        <sz val="11"/>
        <rFont val="Futura Bk BT"/>
      </rPr>
      <t>FINAL</t>
    </r>
  </si>
  <si>
    <r>
      <t xml:space="preserve">2021-PDM-0132-DM-05-020 </t>
    </r>
    <r>
      <rPr>
        <b/>
        <sz val="11"/>
        <rFont val="Futura Bk BT"/>
      </rPr>
      <t>FINAL</t>
    </r>
  </si>
  <si>
    <r>
      <t xml:space="preserve">2021-PDM-0152-UR-01-015  </t>
    </r>
    <r>
      <rPr>
        <b/>
        <sz val="11"/>
        <rFont val="Futura Bk BT"/>
      </rPr>
      <t>FINAL</t>
    </r>
  </si>
  <si>
    <r>
      <t xml:space="preserve">2021-PDM-0153-DM-05-024 </t>
    </r>
    <r>
      <rPr>
        <b/>
        <sz val="11"/>
        <rFont val="Futura Bk BT"/>
      </rPr>
      <t xml:space="preserve"> FINAL</t>
    </r>
  </si>
  <si>
    <r>
      <t xml:space="preserve">2021-PDM-0154-DM-05-025 </t>
    </r>
    <r>
      <rPr>
        <b/>
        <sz val="11"/>
        <rFont val="Futura Bk BT"/>
      </rPr>
      <t>FINAL</t>
    </r>
  </si>
  <si>
    <r>
      <t xml:space="preserve">2021-PDM-0155-DM-05-026  </t>
    </r>
    <r>
      <rPr>
        <b/>
        <sz val="11"/>
        <rFont val="Futura Bk BT"/>
      </rPr>
      <t>FINAL</t>
    </r>
  </si>
  <si>
    <t>DICIEMBRE</t>
  </si>
  <si>
    <t>2021-FISMDF-0027-001-0411102-001 FINAL</t>
  </si>
  <si>
    <t>2021-FISMDF-0028-002-0411102-002 FINAL</t>
  </si>
  <si>
    <t>2021-FISMDF-0029-003-0411102-003 FINAL</t>
  </si>
  <si>
    <t>2021-FISMDF-0030-002-0411102-004 FINAL</t>
  </si>
  <si>
    <t>2021-FISMDF-0031-002-0411102-005 FINAL</t>
  </si>
  <si>
    <t>2021-FISMDF-0034-002-1342-008-001 FINAL</t>
  </si>
  <si>
    <t>2021-FISMDF-0036-002-0411102-009 FINAL</t>
  </si>
  <si>
    <t>2021-FISMDF-0037-002-0411102-010 FINAL</t>
  </si>
  <si>
    <t>2021-FISMDF-0039-001-0411102-011FINAL</t>
  </si>
  <si>
    <t>2021-FISMDF-0046-002-0411102-017 FINAL</t>
  </si>
  <si>
    <t>2021-FISMDF-0047-002-0411102-018 FINAL</t>
  </si>
  <si>
    <t>2021-FISMDF-0050-001-1342-020 FINAL</t>
  </si>
  <si>
    <t>2021-FISMDF-0051-1342-021 FINAL</t>
  </si>
  <si>
    <t>2021-FISMDF-0052-001-1342-022 FINAL</t>
  </si>
  <si>
    <r>
      <t>Construcción de Cubierta en Cancha de Parque Real del Sol C. Arpa C. Irlanda Real del Sol</t>
    </r>
    <r>
      <rPr>
        <b/>
        <sz val="11"/>
        <rFont val="Futura Bk BT"/>
      </rPr>
      <t>.</t>
    </r>
  </si>
  <si>
    <t>2021-FISMDF-0053-001-1342-023 FINAL</t>
  </si>
  <si>
    <t>2021-FISMDF-0055-001-1342-025 FINAL</t>
  </si>
  <si>
    <t>2021-FISMDF-0056-001-1342-026 FINAL</t>
  </si>
  <si>
    <t>2021-FISMDF-0057-001-0740213-027 FINAL</t>
  </si>
  <si>
    <t>2021-FISMDF-0060-001-1342-028 FINAL</t>
  </si>
  <si>
    <t>2021-FISMDF-0061-001-1342-029 FINAL</t>
  </si>
  <si>
    <t>2021-FISMDF-0062-001-1342-030 FINAL</t>
  </si>
  <si>
    <t>2021-FISMDF-0063-001-1342-031 FINAL</t>
  </si>
  <si>
    <t>2021-FISMDF-0064-001-1342-032 FINAL</t>
  </si>
  <si>
    <t>2021-FISMDF-0065-1342-033 FINAL</t>
  </si>
  <si>
    <t>2021-FISMDF-0066-0740214-034 FINAL</t>
  </si>
  <si>
    <t>2021-FISMDF-0067-001-0740215-035 FINAL</t>
  </si>
  <si>
    <t>2021-FISMDF-0068-001-0411102-036 FINAL</t>
  </si>
  <si>
    <t>2021-FISMDF-0069-001-0411102-037 FINAL</t>
  </si>
  <si>
    <t>2021-FISMDF-0070-001-0411102-038 FINAL</t>
  </si>
  <si>
    <t>2021-FISMDF-0071-002-0411102-039 FINAL</t>
  </si>
  <si>
    <t>2021-FISMDF-0072-001-0411102-040 FINAL</t>
  </si>
  <si>
    <t>2021-FISMDF-0073-001-0411102-041 FINAL</t>
  </si>
  <si>
    <t>2021-FISMDF-0074-001-0411102-042 FINAL</t>
  </si>
  <si>
    <t>2021-FISMDF-0075-001-0411102-043 FINAL</t>
  </si>
  <si>
    <t>2021-FISMDF-0080-01021-046 FINAL</t>
  </si>
  <si>
    <r>
      <t>Perforación de Pozo Profundo P-069A San Ignacio II San Ignacio II</t>
    </r>
    <r>
      <rPr>
        <b/>
        <sz val="11"/>
        <rFont val="Futura Bk BT"/>
      </rPr>
      <t>.</t>
    </r>
  </si>
  <si>
    <t>2021-FISMDF-0082-001-1342-047 FINAL</t>
  </si>
  <si>
    <t>2021-FISMDF-0083-001-0415210-053 FINAL</t>
  </si>
  <si>
    <t>Rehabilitación de PTAR Vistas de Oriente Vistas de Oriente Ags.</t>
  </si>
  <si>
    <t>2021-FISMDF-0084-001-0411102-048 FINAL</t>
  </si>
  <si>
    <t>2021-FISMDF-0085-001-0411102-049 FINAL</t>
  </si>
  <si>
    <t>2021-FISMDF-0086-001-04401-050 FINAL</t>
  </si>
  <si>
    <t>2021-FISMDF-0087-001-1340-051 FINAL</t>
  </si>
  <si>
    <t>2021-FISMDF-0090-001-0411102-054 FINAL</t>
  </si>
  <si>
    <t>2021-FISMDF-0091-001-0411102-055 FINAL</t>
  </si>
  <si>
    <t>2021-FISMDF-0096-02071-068 FINAL</t>
  </si>
  <si>
    <t>Construcción de Colector Sanitario Hacienda Nueva La Perla el Bramadero.</t>
  </si>
  <si>
    <t>2021-FISMDF-0097-001-0411102-056 FINAL</t>
  </si>
  <si>
    <t>2021-FISMDF-0098-001-0411102-057 FINAL</t>
  </si>
  <si>
    <t>2021-FISMDF-0099-001-1340-058 FINAL</t>
  </si>
  <si>
    <t>2021-FISMDF-0100-1340-059 FINAL</t>
  </si>
  <si>
    <t>2021-FISMDF-0101-1340-060 FINAL</t>
  </si>
  <si>
    <t>2021-FISMDF-0102-1340-061 FINAL</t>
  </si>
  <si>
    <t>2021-FISMDF-0103-1340-062 FINAL</t>
  </si>
  <si>
    <t>2021-FISMDF-0106-001-1340-065 FINAL</t>
  </si>
  <si>
    <t>2021-FISMDF-0107-1340-066 FINAL</t>
  </si>
  <si>
    <t>2021-FISMDF-0108-001-1340-067 FINAL</t>
  </si>
  <si>
    <t>2021-FISMDF-0112-001-0740215-072 FINAL</t>
  </si>
  <si>
    <r>
      <t>Mejoramiento de Escuela Telesecundaria N° 32 C. Manuel M. Ponce S/N Com. Los Negritos</t>
    </r>
    <r>
      <rPr>
        <b/>
        <sz val="11"/>
        <rFont val="Futura Bk BT"/>
      </rPr>
      <t>.</t>
    </r>
  </si>
  <si>
    <t>2021-FISMDF-0113-001-08303-073 FINAL</t>
  </si>
  <si>
    <t>2021-FISMDF-0114-001-08303-074 FINAL</t>
  </si>
  <si>
    <t>2021-FISMDF-0116-001-03092-076</t>
  </si>
  <si>
    <r>
      <t>Rehabilitación de Drenaje en Andador Chichen Itza entre Andador Chicen Itza y 1a Plaza Palenque Infonovit Morelos</t>
    </r>
    <r>
      <rPr>
        <b/>
        <sz val="11"/>
        <rFont val="Futura Bk BT"/>
      </rPr>
      <t>.</t>
    </r>
  </si>
  <si>
    <t>2021-FISMDF-0117-001-01011-077 FINAL</t>
  </si>
  <si>
    <r>
      <t>Linea de Distribución del Tanque Reserva Oriente Fracc.Vistas de las Cumbre por la C. Arpa entre C. Plano y Mooser Barandum</t>
    </r>
    <r>
      <rPr>
        <b/>
        <sz val="11"/>
        <rFont val="Futura Bk BT"/>
      </rPr>
      <t>.</t>
    </r>
  </si>
  <si>
    <t>2021-FISMDF-0118-01011-078 FINAL</t>
  </si>
  <si>
    <r>
      <t>Linea de Distribución Av. Rodolfo Landeros entre Tanque Reserva Nor-Oriente y Av. De las Torres Aguascalientes</t>
    </r>
    <r>
      <rPr>
        <b/>
        <sz val="11"/>
        <rFont val="Futura Bk BT"/>
      </rPr>
      <t>.</t>
    </r>
  </si>
  <si>
    <t>2021-FISMDF-0119-01011-079 FINAL</t>
  </si>
  <si>
    <t>Construccion de Lineas de Conducción y Distribución Reserva Oriente desde el Pozo P-164 Maranata Anexo Paseos del Sol.</t>
  </si>
  <si>
    <t>2021-FISMDF-0120-1342-080 FINAL</t>
  </si>
  <si>
    <t>Skatorama Parque Urbano Jesus Teran C. el Zarco Fracc. Mpio. Libre.</t>
  </si>
  <si>
    <t>2021-FISMDF-0121-001-1342-081 FINAL</t>
  </si>
  <si>
    <r>
      <t>Terrazas Parque Urbano Jesus Teran c. el Zarco Fracc. Mpio. Libre</t>
    </r>
    <r>
      <rPr>
        <b/>
        <sz val="11"/>
        <rFont val="Futura Bk BT"/>
      </rPr>
      <t>.</t>
    </r>
  </si>
  <si>
    <t>2021-FISMDF-0122-1342-082 FINAL</t>
  </si>
  <si>
    <r>
      <t>Fuente Parque Urbano Jesus Teran C. el Zarco Fracc. Mpio. Libre</t>
    </r>
    <r>
      <rPr>
        <b/>
        <sz val="11"/>
        <rFont val="Futura Bk BT"/>
      </rPr>
      <t>.</t>
    </r>
  </si>
  <si>
    <t>2021-FISMDF-0123-1342-083 FINAL</t>
  </si>
  <si>
    <r>
      <t>Gradas y Andador a Fuente Parque Urbano Jesus Teran C. el Zarco Fracc. Mpio. Libre</t>
    </r>
    <r>
      <rPr>
        <b/>
        <sz val="11"/>
        <rFont val="Futura Bk BT"/>
      </rPr>
      <t>.</t>
    </r>
  </si>
  <si>
    <t>2021-FISMDF-0124-1342-084 FINAL</t>
  </si>
  <si>
    <r>
      <t>Escalinata Primaria Parque Urbano Jesus Teran C. el Zarco Fracc. Mpio. Libre</t>
    </r>
    <r>
      <rPr>
        <b/>
        <sz val="11"/>
        <rFont val="Futura Bk BT"/>
      </rPr>
      <t>.</t>
    </r>
  </si>
  <si>
    <t>2021-FISMDF-0125-1342-085 FINAL</t>
  </si>
  <si>
    <r>
      <t>Instalaciones Primera Etapa Parque Urbano Jesus Teran C. el Zarco Fracc.Mpio. Libre</t>
    </r>
    <r>
      <rPr>
        <b/>
        <sz val="11"/>
        <rFont val="Futura Bk BT"/>
      </rPr>
      <t>.</t>
    </r>
  </si>
  <si>
    <t>2021-FISMDF-0126-1340-086 FINAL</t>
  </si>
  <si>
    <r>
      <t>Salon de Usos Multiples Parqu Valle de los Cactus C. Paseo de la Biznaga y C. Juventino Fracc. Valle de los Cactus</t>
    </r>
    <r>
      <rPr>
        <b/>
        <sz val="11"/>
        <rFont val="Futura Bk BT"/>
      </rPr>
      <t>.</t>
    </r>
  </si>
  <si>
    <t>2021-FISMDF-0127-001-0411102-087 FINAL</t>
  </si>
  <si>
    <t>Construcción de Sobrecarpeta Asfaltica Blvd. A Zacatecas Calzada Poniente entre Av. Aguascalientes Norte y C. Arnulfo M. Valdez Mpio. Ags.</t>
  </si>
  <si>
    <t>2021-FISMDF-0128-001-0411102-088 FINAL</t>
  </si>
  <si>
    <t>Construcción de Sobrecarpeta Asfaltica Blvd. A Zacatecas Calzada Poniente entre C. Arnulfo M. Valdez y C. Comercio Mpio. Ags.</t>
  </si>
  <si>
    <t>2021-FISMDF-0129-001-0411102-089 FINAL</t>
  </si>
  <si>
    <t>Construcción de Sobrecarpeta Asfaltica Blvd. A Zacatecas Calzada Poniente entre C. Comercio y Acceso LIMSA Mpio. Ags.</t>
  </si>
  <si>
    <t>2021-FISMDF-0130-001-0411102-090 FINAL</t>
  </si>
  <si>
    <t>Construcción de Sobrecarpeta Asfaltica Blvd. A Zacatecas Calzada Poniente entre  Acceso LIMSA y Retorno Mpio. Ags.</t>
  </si>
  <si>
    <t>2021-FISMDF-0136-001-01011-091 FINAL</t>
  </si>
  <si>
    <t>Construcción de Lineas de Conducción y Distribución Complementarias entre Av. Vallarta y Tanque de Almacenamiento de la Reserva Oriente Fracc. Paseos del Sol.</t>
  </si>
  <si>
    <t>2021-FISMDF-0137-001-0411105-092 FINAL</t>
  </si>
  <si>
    <r>
      <t>Riego de Sello Av. Convención de 1914 Poniente ( Calzada Oriente) Tramo entre C.Miguel Ruelas Av. Fundición Mpio. Aguascalientes</t>
    </r>
    <r>
      <rPr>
        <b/>
        <sz val="11"/>
        <rFont val="Futura Bk BT"/>
      </rPr>
      <t>.</t>
    </r>
  </si>
  <si>
    <t>2021-FISMDF-0138-001-0411105-093 FINAL</t>
  </si>
  <si>
    <r>
      <t>Riego de Sello Av. Convención de 1914 Poniente ( Calzada Poniente) Tramo entre C.Miguel Ruelas Av. Fundición Mpio. Aguascalientes</t>
    </r>
    <r>
      <rPr>
        <b/>
        <sz val="11"/>
        <rFont val="Futura Bk BT"/>
      </rPr>
      <t>.</t>
    </r>
  </si>
  <si>
    <t>2021-FISMDF-0139-0411102-094 FINAL</t>
  </si>
  <si>
    <r>
      <t>Sobrecarpeta Asfaltica Av. Petroleos Mexicanos Tramo entre Av. Independencia y C.Gran Avenida Mpio. Aguascalientes</t>
    </r>
    <r>
      <rPr>
        <b/>
        <sz val="11"/>
        <rFont val="Futura Bk BT"/>
      </rPr>
      <t>.</t>
    </r>
  </si>
  <si>
    <t>2021-FISMDF-0140-001-0411102-095 FINAL</t>
  </si>
  <si>
    <r>
      <t>Sobrecarpeta Asfaltica Av. Petroleos Mexicanos Tramo entre Gran Avenida y C. Norberto Gomez  Hornedo Mpio. Aguascalientes</t>
    </r>
    <r>
      <rPr>
        <b/>
        <sz val="11"/>
        <rFont val="Futura Bk BT"/>
      </rPr>
      <t>.</t>
    </r>
  </si>
  <si>
    <t>2021-FISMDF-0144-001-0411109-096 FINAL</t>
  </si>
  <si>
    <r>
      <t>Obra Complementaria y Señaletica Blvd. a Zacatecas( Calzada Oriente) Tramo entre C. Circe y Av. Aguascalientes</t>
    </r>
    <r>
      <rPr>
        <b/>
        <sz val="11"/>
        <rFont val="Futura Bk BT"/>
      </rPr>
      <t>.</t>
    </r>
  </si>
  <si>
    <t>2021-FISMDF-0146-01022-098 FINAL</t>
  </si>
  <si>
    <r>
      <t>Rehabilitacion de Pozo P-034 el Dorado Limpieza de la Estructura de Captacion de Aire Fracc. El Dorado</t>
    </r>
    <r>
      <rPr>
        <b/>
        <sz val="11"/>
        <rFont val="Futura Bk BT"/>
      </rPr>
      <t>.</t>
    </r>
  </si>
  <si>
    <t>2021-FISMDF-0149-01022-100 FINAL</t>
  </si>
  <si>
    <r>
      <t>Rehabilitación de Pozo P-017 Limpieza de la Estructura de Captación con Aire mediante el Empleo de Equipo de Porforación Tipo Neumatico Inf. IV Centenario</t>
    </r>
    <r>
      <rPr>
        <b/>
        <sz val="11"/>
        <rFont val="Futura Bk BT"/>
      </rPr>
      <t>.</t>
    </r>
  </si>
  <si>
    <t>2021-FISMDF-0150-1342-101 FINAL</t>
  </si>
  <si>
    <t>HEGOR DESARROLLOS S.A.C.V.</t>
  </si>
  <si>
    <t>FISMDF-0150-2021</t>
  </si>
  <si>
    <t>2021-FISMDF-0151-0411102-102 FINAL</t>
  </si>
  <si>
    <r>
      <t>Sobrecarpeta Asfaltica Av. Heroe de Nacozari Norte acceso a Gasolinera y Blvd. a Zacatecas</t>
    </r>
    <r>
      <rPr>
        <b/>
        <sz val="11"/>
        <rFont val="Futura Bk BT"/>
      </rPr>
      <t>.</t>
    </r>
  </si>
  <si>
    <t>FISMDF-0151-2021</t>
  </si>
  <si>
    <t>2021-FISMDF-0156-0411102-103 FINAL</t>
  </si>
  <si>
    <t>FISMDF-0156-2021</t>
  </si>
  <si>
    <t>2021-FISMDF-0157-1342-104 FINAL</t>
  </si>
  <si>
    <t>Obra Complementaria en Parque Proceres de la Enzeñanza J. Gpe. Peralta Gamez.</t>
  </si>
  <si>
    <t>2021-FISMDF-0040-001-08302-014 FINAL</t>
  </si>
  <si>
    <r>
      <t>Mi Hogar Corazon de Aguascalientes(Calentador Solar Fondo III) Todo el Municipio de Aguascalientes</t>
    </r>
    <r>
      <rPr>
        <b/>
        <sz val="11"/>
        <rFont val="Futura Bk BT"/>
      </rPr>
      <t>.</t>
    </r>
  </si>
  <si>
    <t>2021-FISMDF-0158-001-08302-105 FINAL</t>
  </si>
  <si>
    <t>2021-FISMDF-0032-001-1137-006 FINAL</t>
  </si>
  <si>
    <r>
      <t>Gastos Indirectos 2021 Honorarios CCAPAMA Aguascalientes</t>
    </r>
    <r>
      <rPr>
        <b/>
        <sz val="11"/>
        <rFont val="Futura Bk BT"/>
      </rPr>
      <t>.</t>
    </r>
  </si>
  <si>
    <t>2021-FISMDF-0033-001-1137-007 FINAL</t>
  </si>
  <si>
    <r>
      <t>Gastos Indirectos Mantenimiento Vehicular CCAPAMA Aguascalientes</t>
    </r>
    <r>
      <rPr>
        <b/>
        <sz val="11"/>
        <rFont val="Futura Bk BT"/>
      </rPr>
      <t>.</t>
    </r>
  </si>
  <si>
    <t>2021-FISMDF-0041-1140-212 FINAL</t>
  </si>
  <si>
    <t>2021-FISMDF-0042-001-1140-013 FINAL</t>
  </si>
  <si>
    <r>
      <t>Gastos Indirectos ( Supervicion Externa FISMDF) Todo el Mpio de Aguascalientes</t>
    </r>
    <r>
      <rPr>
        <b/>
        <sz val="11"/>
        <rFont val="Futura Bk BT"/>
      </rPr>
      <t>.</t>
    </r>
  </si>
  <si>
    <t>2021-FISMDF-0048-001-1137-019 FINAL</t>
  </si>
  <si>
    <r>
      <t>Gastos Indirectos ( Contratación de Servicios) Todo el Mpio de Aguascalientes</t>
    </r>
    <r>
      <rPr>
        <b/>
        <sz val="11"/>
        <rFont val="Futura Bk BT"/>
      </rPr>
      <t>.</t>
    </r>
  </si>
  <si>
    <t xml:space="preserve">2021-FISMDF-0078-1140-044 </t>
  </si>
  <si>
    <t xml:space="preserve">2021-FISMDF-0079-1140-045 </t>
  </si>
  <si>
    <r>
      <t>Gastos Indirectos (  Adquisición de Equipo Fotografico) Todo el Mpio de Aguascalientes</t>
    </r>
    <r>
      <rPr>
        <b/>
        <sz val="11"/>
        <rFont val="Futura Bk BT"/>
      </rPr>
      <t>(CANCELADA)</t>
    </r>
  </si>
  <si>
    <t xml:space="preserve">2021-FISMDF-0089-1238-052 </t>
  </si>
  <si>
    <t>2021-FISMDF-0111-001-1238-071 FINAL</t>
  </si>
  <si>
    <r>
      <t>Instalación de Red para la Secretaria de Desarrollo Urbano(prodim Administración) Sec. De Des. Urbano y Coordinacion de Gobierno Digital Zona Centro</t>
    </r>
    <r>
      <rPr>
        <b/>
        <sz val="11"/>
        <rFont val="Futura Bk BT"/>
      </rPr>
      <t>.</t>
    </r>
  </si>
  <si>
    <t>2021-FORTAMUNDF-0021-002-DM-04-002 FINAL</t>
  </si>
  <si>
    <t>SALDO (REINTEGRO A LA TESOFE)</t>
  </si>
  <si>
    <t>SECRETARIA DE FINANZAS PUBLICAS                                                                                                                                                                                                                                                                                                                                                                                                                                                                                             DIRECCION DE EGRESOS</t>
  </si>
  <si>
    <t>FISMDF 2021</t>
  </si>
  <si>
    <t>DEPARTAMENTO DE CONTROL PRESUPUESTAL DE LA OBRA PÚBLICA Y PROGRAMAS FEDERALES</t>
  </si>
  <si>
    <t>Construcción de Sobre carpeta Asfáltica Av. Gerónimo de la Cueva (Calzada Sur)  Av. Poliducto Av. Rodrigo Rincón Villa de Nuestra Señora de la Asunción Sector Guadalupe Frac. 1a Sección.</t>
  </si>
  <si>
    <t>Construcción de Sobre carpeta Asfáltica Av. De la Convención de 1914 Norte Tramo entre C. Jacaranda y C. Laurel Frac. Las Arboleadas.</t>
  </si>
  <si>
    <t>Construcción de Sobre carpeta Asfáltica AV. De la Convención de 1914 Poniente(Calzada Poniente) Tramo entre C.Aquiles Elorduy y C. Pueblito Col. San Marcos.</t>
  </si>
  <si>
    <t>Construcción de Sobre carpeta Asfáltica Av. De la Convención de 1914 Poniente (Calzada Poniente) Tramo entre C. Pueblito y C. Nicolás Ramirez Col. San Marcos.</t>
  </si>
  <si>
    <r>
      <t>Construcción de Sobre carpeta Asfáltica Av. De la Convención de 1914 Poniente(Calzada Oriente) Tramo entre C. Talamantes y C. Paris Col. San Marcos</t>
    </r>
    <r>
      <rPr>
        <b/>
        <sz val="11"/>
        <rFont val="Futura Bk BT"/>
      </rPr>
      <t>(MODIFICADO FIN)</t>
    </r>
  </si>
  <si>
    <r>
      <t>Rehabilitación Parque L a Soledad C. Ajijic Esq. A.Atenquique y C. Autlán Frac. La Soledad</t>
    </r>
    <r>
      <rPr>
        <b/>
        <sz val="11"/>
        <rFont val="Futura Bk BT"/>
      </rPr>
      <t>.</t>
    </r>
  </si>
  <si>
    <t>Construcción de Sobre carpeta Asfáltica Av. De la Convención 1914 Poniente C. Nicolás Ramirez Av. Adolfo Lopez Mateos Frac. Del Valle 2a Secc.</t>
  </si>
  <si>
    <t xml:space="preserve">Construcción de Sobre carpeta Asfáltica Av. De la Convención 1914 Poniente C. Paris y Av. Adolfo Lopez Mateos Frac. Del Valle 1a Secc. </t>
  </si>
  <si>
    <t>Construcción de Sobre carpeta Asfáltica y Pavimento Hidráulico Blvd. A Zacatecas (Calzada Poniente) C. Ébano y Av. Aglaya Frac. Las Hadas.</t>
  </si>
  <si>
    <r>
      <t xml:space="preserve">Construcción de Sobre carpeta Asfáltica y Av. Aguascalientes Oriente (Calzada Oriente) Av. Jose H. Escobedo Av. Nazario Ortiz Garza </t>
    </r>
    <r>
      <rPr>
        <b/>
        <sz val="11"/>
        <rFont val="Futura Bk BT"/>
      </rPr>
      <t>.</t>
    </r>
  </si>
  <si>
    <t>Construcción de Sobre carpeta Asfáltica y Av. Aguascalientes Oriente (Calzada Poniente) Av. Jose H. Escobedo Av. Nazario Ortiz Garza.</t>
  </si>
  <si>
    <t>Consolidación Parque Constitución Frac. Constitución.</t>
  </si>
  <si>
    <r>
      <t>Construcción de Cubierta en Cancha de Parque Villa Sur Av. Flor de Noche Buena Frac. Villa Sur</t>
    </r>
    <r>
      <rPr>
        <b/>
        <sz val="11"/>
        <rFont val="Futura Bk BT"/>
      </rPr>
      <t>.</t>
    </r>
  </si>
  <si>
    <r>
      <t>Construcción de Cubierta en Cancha Parque V.N.S.A. Av. Valle de los Romero Domingo Velasco V.N.S.A. Sector Alameda</t>
    </r>
    <r>
      <rPr>
        <b/>
        <sz val="11"/>
        <rFont val="Futura Bk BT"/>
      </rPr>
      <t>.</t>
    </r>
  </si>
  <si>
    <r>
      <t>Construcción de Cubierta en Cancha Parque AltaVista C.Felipe Ruiz de Chavez Esq. Rafael Arellano Col. AltaVista</t>
    </r>
    <r>
      <rPr>
        <b/>
        <sz val="11"/>
        <rFont val="Futura Bk BT"/>
      </rPr>
      <t>.</t>
    </r>
  </si>
  <si>
    <r>
      <t>Construcción de Cubierta en Cancha Parque Lomas de Santa Anita C. David Alfaro Siqueiros Esq. Diego Rivera Frac. Loma de Santa Anita</t>
    </r>
    <r>
      <rPr>
        <b/>
        <sz val="11"/>
        <rFont val="Futura Bk BT"/>
      </rPr>
      <t>.</t>
    </r>
  </si>
  <si>
    <r>
      <t>Mejoramiento de Jardín de Niños Ignacio Garcia Téllez C. Luis Hidalgo Monroy                                                                                                                            Frac. Bulevares 1a Secc.</t>
    </r>
    <r>
      <rPr>
        <sz val="11"/>
        <rFont val="Futura Bk BT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</t>
    </r>
  </si>
  <si>
    <r>
      <t>Construcción de Cubierta en Cancha Parque La Soledad C. Ajijic Esq. Atenquique y C,. Autlán Frac. La Soledad</t>
    </r>
    <r>
      <rPr>
        <b/>
        <sz val="11"/>
        <rFont val="Futura Bk BT"/>
      </rPr>
      <t>.</t>
    </r>
    <r>
      <rPr>
        <sz val="11"/>
        <rFont val="Futura Bk BT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</si>
  <si>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Construcción de Cubierta en Cancha Parque Colinas del Rio C. Rio Colorado Riko Guadiana Frac. Colinas del Rio                                                                                                                                                                                                                                                                                    .</t>
  </si>
  <si>
    <r>
      <t>Construcción de Cancha Usos Múltiples Parque La Soledad C. Ajijic C. Atenquique y C. Autlán Frac. La Soledad</t>
    </r>
    <r>
      <rPr>
        <b/>
        <sz val="11"/>
        <rFont val="Futura Bk BT"/>
      </rPr>
      <t>.</t>
    </r>
  </si>
  <si>
    <r>
      <t>Construcción de Cancha Usos Múltiples Parque Lomas de Santa Anita C. David Alfaro Siqueiros C. Diego Rivera Frac. Loma de Santa Anita</t>
    </r>
    <r>
      <rPr>
        <b/>
        <sz val="11"/>
        <rFont val="Futura Bk BT"/>
      </rPr>
      <t>.</t>
    </r>
  </si>
  <si>
    <r>
      <t>Rehabilitación Centro Deportivo Municipal Pensadores Mexicanos Av. Siglo XXI Esq. Pensadores Mexicanos Frac. Pensadores Mexicanos</t>
    </r>
    <r>
      <rPr>
        <b/>
        <sz val="11"/>
        <rFont val="Futura Bk BT"/>
      </rPr>
      <t>.</t>
    </r>
  </si>
  <si>
    <t>Construcción de Canchas de Usos Múltiples Parque Villas de la Cantera C. Cráter Av. Del Jardín Frac. Villas de la Cantera 1a Secc.</t>
  </si>
  <si>
    <r>
      <t>Mejoramiento Escuela Primaria Ismael Collazo Garcia C. Palma Mexicana N° 302 Frac. Bajío de las Palmas</t>
    </r>
    <r>
      <rPr>
        <b/>
        <sz val="11"/>
        <rFont val="Futura Bk BT"/>
      </rPr>
      <t>.</t>
    </r>
  </si>
  <si>
    <r>
      <t>Mejoramiento Escuela Secundaria General N° 11 J. Guadalupe Peralta Gámez Av. Parque Vía Esq. Av. Nazario Ortiz Garza Frac. Santa Anita</t>
    </r>
    <r>
      <rPr>
        <b/>
        <sz val="11"/>
        <rFont val="Futura Bk BT"/>
      </rPr>
      <t>.</t>
    </r>
  </si>
  <si>
    <r>
      <t>Construcción de Sobre carpeta Asfáltica Av. De la convención 1914 Sur(Calzada Norte) Tramo C. Sevilla Av. Ignacio T. Chavez Frac. España</t>
    </r>
    <r>
      <rPr>
        <b/>
        <sz val="11"/>
        <rFont val="Futura Bk BT"/>
      </rPr>
      <t>.</t>
    </r>
  </si>
  <si>
    <r>
      <t>Construcción de Sobre carpeta Asfáltica Av. De la convención 1914 Sur(Calzada Sur) Tramo C. Sevilla Av. Ignacio T. Chavez Frac. España</t>
    </r>
    <r>
      <rPr>
        <b/>
        <sz val="11"/>
        <rFont val="Futura Bk BT"/>
      </rPr>
      <t>.</t>
    </r>
  </si>
  <si>
    <r>
      <t>Construcción de Sobre carpeta Asfáltica Av. De la convención 1914 Sur(Calzada Norte) Av. Ignacio T. Chavez y C. Republica de Belice Frac. Santa Elena</t>
    </r>
    <r>
      <rPr>
        <b/>
        <sz val="11"/>
        <rFont val="Futura Bk BT"/>
      </rPr>
      <t>.</t>
    </r>
  </si>
  <si>
    <r>
      <t>Construcción de Sobre carpeta Asfáltica Av. De la convención 1914 Sur(Calzada Sur) Av. Ignacio T. Chavez y C. Republica de Belice Frac. Santa Elena</t>
    </r>
    <r>
      <rPr>
        <b/>
        <sz val="11"/>
        <rFont val="Futura Bk BT"/>
      </rPr>
      <t>.</t>
    </r>
  </si>
  <si>
    <r>
      <t>Construcción de Sobre carpeta Asfáltica Av. De la convención 1914 Poniente(Calzada Oriente) Entre Blvd. San Marcos y C. Sevilla Mpio. Aguascalientes</t>
    </r>
    <r>
      <rPr>
        <b/>
        <sz val="11"/>
        <rFont val="Futura Bk BT"/>
      </rPr>
      <t>.</t>
    </r>
  </si>
  <si>
    <r>
      <t>Construcción de Sobre carpeta Asfáltica Av. De la convención 1914 Poniente(Calzada Poniente) Entre Blvd. San Marcos y C. Sevilla Mpio. Aguascalientes</t>
    </r>
    <r>
      <rPr>
        <b/>
        <sz val="11"/>
        <rFont val="Futura Bk BT"/>
      </rPr>
      <t>.</t>
    </r>
  </si>
  <si>
    <r>
      <t>Construcción de Sobre carpeta Asfáltica Av. De la Convención 1914 Poniente entre Av. Adolfo Lopez Mateos y Blvd. San Marcos</t>
    </r>
    <r>
      <rPr>
        <b/>
        <sz val="11"/>
        <rFont val="Futura Bk BT"/>
      </rPr>
      <t>.</t>
    </r>
  </si>
  <si>
    <r>
      <t>Rehabilitación de Cancha de Usos Múltiples Parque Colinas del Rio C. Rio Colorado Esq. Rio Guadaina Colinas del Rio</t>
    </r>
    <r>
      <rPr>
        <b/>
        <sz val="11"/>
        <rFont val="Futura Bk BT"/>
      </rPr>
      <t>.</t>
    </r>
  </si>
  <si>
    <r>
      <t>Construcción de Sobre carpeta Asfáltica Av. Aguascalientes Oriente ( Calzada Oriente) Av. Nazario Ortiz Garza y Blvd. Guadalupano Mpio. Ags.</t>
    </r>
    <r>
      <rPr>
        <b/>
        <sz val="11"/>
        <rFont val="Futura Bk BT"/>
      </rPr>
      <t>.</t>
    </r>
  </si>
  <si>
    <r>
      <t>Construcción de Sobre carpeta Asfáltica Av. Aguascalientes Oriente ( Calzada Poniente) Av. Nazario Ortiz Garza y Blvd. Guadalupano Mpio. Ags.</t>
    </r>
    <r>
      <rPr>
        <b/>
        <sz val="11"/>
        <rFont val="Futura Bk BT"/>
      </rPr>
      <t>.</t>
    </r>
  </si>
  <si>
    <r>
      <t>Rehabilitación Mercado Reforma C. Ezequiel A. Chavez N° 101 La Purísima</t>
    </r>
    <r>
      <rPr>
        <b/>
        <sz val="11"/>
        <rFont val="Futura Bk BT"/>
      </rPr>
      <t>.</t>
    </r>
  </si>
  <si>
    <r>
      <t>Construcción de Cancha de Usos Múltiples Parque Norias de Ojocaliente C.Diamante Esq. C.Plata Com. Norias de Ojocaliente</t>
    </r>
    <r>
      <rPr>
        <b/>
        <sz val="11"/>
        <rFont val="Futura Bk BT"/>
      </rPr>
      <t>.</t>
    </r>
  </si>
  <si>
    <t>Construcción de Sobre carpeta Asfáltica Av. Independencia (Calzada Oriente)T. entre C.Luis Gil C. Miguel Hidalgo Mpio. Ags.</t>
  </si>
  <si>
    <t>Construcción de Sobre carpeta Asfáltica Av. Independencia (Calzada Oriente)T. entre C.Hidalgo Av. Niños Héroes Mpio. Ags.</t>
  </si>
  <si>
    <t>Construcción de Sobre carpeta Asfáltica Av. Ojocaliente (Calzada Norte) C. San Jose de la Ordeña Salto de los Salados Fracc. Ojocaliente  1a. Secc.</t>
  </si>
  <si>
    <t>Construcción de Sobre carpeta Asfáltica Av. Ojocaliente (Calzada Sur) C. San Jose de la Ordeña Salto de los Salados Frac. Ojocaliente  1a. Secc.</t>
  </si>
  <si>
    <r>
      <t>Trotapísta y Áreas de Descanso (01-02) Parque Próceres de la Enseñanza Av. Próceres de la Enseñanza Fracc. J. Guadalupe Peralta</t>
    </r>
    <r>
      <rPr>
        <b/>
        <sz val="11"/>
        <rFont val="Futura Bk BT"/>
      </rPr>
      <t>.</t>
    </r>
  </si>
  <si>
    <r>
      <t>Cancha de Usos Múltiples (02) Parque Próceres de la Enseñanza Av. Próceres de la Enseñanza Fracc. J. Guadalupe Peralta</t>
    </r>
    <r>
      <rPr>
        <b/>
        <sz val="11"/>
        <rFont val="Futura Bk BT"/>
      </rPr>
      <t>.</t>
    </r>
  </si>
  <si>
    <r>
      <t>Área de Juegos Infantiles y Forestación Parque Próceres de la Enseñanza Av. Próceres de la Enseñanza Fracc. J. Guadalupe Peralta</t>
    </r>
    <r>
      <rPr>
        <b/>
        <sz val="11"/>
        <rFont val="Futura Bk BT"/>
      </rPr>
      <t>.</t>
    </r>
  </si>
  <si>
    <r>
      <t>Banqueta Perimetral Ciclo vía y Mobiliario Urbano Parque Próceres de la Enseñanza Av. Próceres de la Enseñanza Fracc. J. Guadalupe Peralta</t>
    </r>
    <r>
      <rPr>
        <b/>
        <sz val="11"/>
        <rFont val="Futura Bk BT"/>
      </rPr>
      <t>.</t>
    </r>
  </si>
  <si>
    <r>
      <t>Áreas de Descanso (03-04) e Instalaciones Parque Próceres de la Enseñanza Av. Próceres de la Enseñanza Fracc. J. Guadalupe Peralta</t>
    </r>
    <r>
      <rPr>
        <b/>
        <sz val="11"/>
        <rFont val="Futura Bk BT"/>
      </rPr>
      <t>.</t>
    </r>
  </si>
  <si>
    <r>
      <t>Plataformas para Canchas de Usos Múltiples y Plaza de Acceso Parque Jesús Terán C. Zarco Fracc. Mpio. Libre</t>
    </r>
    <r>
      <rPr>
        <b/>
        <sz val="11"/>
        <rFont val="Futura Bk BT"/>
      </rPr>
      <t>.</t>
    </r>
  </si>
  <si>
    <r>
      <t>Cancha de Usos Múltiples (01) Parque Jesús Terán C. Zarco Fracc. Mpio. Libre</t>
    </r>
    <r>
      <rPr>
        <b/>
        <sz val="11"/>
        <rFont val="Futura Bk BT"/>
      </rPr>
      <t>.</t>
    </r>
  </si>
  <si>
    <r>
      <t>Cancha de Usos Múltiples (02) Parque Jesús Terán C. Zarco Fracc. Mpio. Libre</t>
    </r>
    <r>
      <rPr>
        <b/>
        <sz val="11"/>
        <rFont val="Futura Bk BT"/>
      </rPr>
      <t>.</t>
    </r>
  </si>
  <si>
    <r>
      <t>FISM-DF  (Incluye</t>
    </r>
    <r>
      <rPr>
        <b/>
        <sz val="18"/>
        <color theme="1"/>
        <rFont val="Futura Bk BT"/>
      </rPr>
      <t xml:space="preserve"> $802,659.81</t>
    </r>
    <r>
      <rPr>
        <sz val="18"/>
        <color theme="1"/>
        <rFont val="Futura Bk BT"/>
      </rPr>
      <t xml:space="preserve"> que corresponde a rendimientos financieros de enero a diciembre)</t>
    </r>
  </si>
  <si>
    <r>
      <t xml:space="preserve">FORTAMUN-DF (Incluye </t>
    </r>
    <r>
      <rPr>
        <b/>
        <sz val="18"/>
        <color theme="1"/>
        <rFont val="Futura Bk BT"/>
      </rPr>
      <t>$160,251.23</t>
    </r>
    <r>
      <rPr>
        <sz val="18"/>
        <color theme="1"/>
        <rFont val="Futura Bk BT"/>
      </rPr>
      <t xml:space="preserve"> que corresponde a rendimientos financieros de enero a diciembre)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</si>
</sst>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  <numFmt numFmtId="166" formatCode="#,##0.000"/>
    <numFmt numFmtId="167" formatCode="#,##0.00_ ;[Red]\-#,##0.00\ 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mic Sans MS"/>
      <family val="4"/>
    </font>
    <font>
      <b/>
      <sz val="18"/>
      <color indexed="9"/>
      <name val="Calibri"/>
      <family val="2"/>
    </font>
    <font>
      <sz val="14"/>
      <color theme="1"/>
      <name val="Calibri"/>
      <family val="2"/>
      <scheme val="minor"/>
    </font>
    <font>
      <sz val="11"/>
      <name val="Futura Bk BT"/>
      <family val="2"/>
    </font>
    <font>
      <b/>
      <sz val="18"/>
      <color theme="0"/>
      <name val="Calibri"/>
      <family val="2"/>
      <scheme val="minor"/>
    </font>
    <font>
      <b/>
      <sz val="11"/>
      <name val="Futura Bk BT"/>
      <family val="2"/>
    </font>
    <font>
      <b/>
      <i/>
      <sz val="11"/>
      <color indexed="9"/>
      <name val="Futura Hv BT"/>
      <family val="2"/>
    </font>
    <font>
      <b/>
      <sz val="10"/>
      <name val="Futura BdCn BT"/>
      <family val="2"/>
    </font>
    <font>
      <sz val="10"/>
      <name val="NewsGoth"/>
      <family val="2"/>
    </font>
    <font>
      <sz val="10"/>
      <color theme="1"/>
      <name val="Calibri"/>
      <family val="2"/>
      <scheme val="minor"/>
    </font>
    <font>
      <sz val="10"/>
      <name val="Futura Bk BT"/>
      <family val="2"/>
    </font>
    <font>
      <b/>
      <i/>
      <sz val="12"/>
      <color indexed="9"/>
      <name val="Futura Hv BT"/>
      <family val="2"/>
    </font>
    <font>
      <b/>
      <sz val="8"/>
      <name val="Futura Hv BT"/>
      <family val="2"/>
    </font>
    <font>
      <b/>
      <sz val="10"/>
      <name val="Futura Bk BT"/>
    </font>
    <font>
      <b/>
      <sz val="10"/>
      <name val="Futura Bk BT"/>
      <family val="2"/>
    </font>
    <font>
      <b/>
      <i/>
      <sz val="10"/>
      <name val="Futura Bk BT"/>
      <family val="2"/>
    </font>
    <font>
      <b/>
      <sz val="14"/>
      <color theme="0"/>
      <name val="Calibri"/>
      <family val="2"/>
      <scheme val="minor"/>
    </font>
    <font>
      <b/>
      <sz val="11"/>
      <name val="Futura Bk BT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sz val="8"/>
      <color theme="1"/>
      <name val="Calibri"/>
      <family val="2"/>
      <scheme val="minor"/>
    </font>
    <font>
      <sz val="11"/>
      <name val="Futura Hv BT"/>
      <family val="2"/>
    </font>
    <font>
      <b/>
      <sz val="11"/>
      <name val="Futura Hv BT"/>
    </font>
    <font>
      <b/>
      <sz val="10"/>
      <name val="Futura BdCn BT"/>
    </font>
    <font>
      <sz val="11"/>
      <name val="Futura BdCn BT"/>
    </font>
    <font>
      <sz val="8"/>
      <name val="Futura Bk BT"/>
      <family val="2"/>
    </font>
    <font>
      <sz val="11"/>
      <name val="NewsGoth"/>
      <family val="2"/>
    </font>
    <font>
      <b/>
      <i/>
      <sz val="11"/>
      <name val="Futura Bk BT"/>
      <family val="2"/>
    </font>
    <font>
      <sz val="11"/>
      <name val="NewsGoth"/>
    </font>
    <font>
      <sz val="14"/>
      <color indexed="9"/>
      <name val="Calibri"/>
      <family val="2"/>
    </font>
    <font>
      <sz val="11"/>
      <name val="Futura Bk BT"/>
    </font>
    <font>
      <b/>
      <sz val="28"/>
      <color indexed="9"/>
      <name val="Calibri Light"/>
      <family val="2"/>
      <scheme val="major"/>
    </font>
    <font>
      <b/>
      <sz val="20"/>
      <color indexed="9"/>
      <name val="Calibri Light"/>
      <family val="2"/>
      <scheme val="major"/>
    </font>
    <font>
      <b/>
      <sz val="10"/>
      <color theme="0"/>
      <name val="Comic Sans MS"/>
      <family val="4"/>
    </font>
    <font>
      <b/>
      <sz val="26"/>
      <color theme="0"/>
      <name val="Calibri Light"/>
      <family val="2"/>
      <scheme val="major"/>
    </font>
    <font>
      <b/>
      <sz val="20"/>
      <color theme="0"/>
      <name val="Calibri Light"/>
      <family val="2"/>
      <scheme val="major"/>
    </font>
    <font>
      <b/>
      <sz val="28"/>
      <color theme="0"/>
      <name val="Calibri Light"/>
      <family val="2"/>
      <scheme val="major"/>
    </font>
    <font>
      <b/>
      <sz val="24"/>
      <color theme="1"/>
      <name val="Calibri"/>
      <family val="2"/>
      <scheme val="minor"/>
    </font>
    <font>
      <b/>
      <sz val="18"/>
      <color theme="1"/>
      <name val="Futura Bk BT"/>
    </font>
    <font>
      <b/>
      <sz val="18"/>
      <name val="Futura Bk BT"/>
    </font>
    <font>
      <b/>
      <sz val="18"/>
      <color theme="1"/>
      <name val="Calibri"/>
      <family val="2"/>
      <scheme val="minor"/>
    </font>
    <font>
      <b/>
      <sz val="16"/>
      <color theme="1"/>
      <name val="Futura Bk BT"/>
    </font>
    <font>
      <b/>
      <sz val="11"/>
      <color theme="1"/>
      <name val="Futura Bk BT"/>
    </font>
    <font>
      <sz val="18"/>
      <color theme="1"/>
      <name val="Futura Bk BT"/>
    </font>
    <font>
      <sz val="20"/>
      <color theme="1"/>
      <name val="Futura Bk BT"/>
    </font>
    <font>
      <b/>
      <sz val="12"/>
      <color theme="1"/>
      <name val="Futura Bk BT"/>
    </font>
    <font>
      <sz val="16"/>
      <color theme="1"/>
      <name val="Futura Bk BT"/>
    </font>
    <font>
      <sz val="14"/>
      <color theme="1"/>
      <name val="Futura Bk BT"/>
    </font>
    <font>
      <sz val="12"/>
      <color theme="1"/>
      <name val="Futura Bk BT"/>
    </font>
    <font>
      <sz val="11"/>
      <color theme="1"/>
      <name val="Futura Bk BT"/>
    </font>
    <font>
      <b/>
      <sz val="10"/>
      <color theme="1"/>
      <name val="Futura Bk BT"/>
    </font>
    <font>
      <sz val="8"/>
      <name val="Futura Bk BT"/>
    </font>
    <font>
      <sz val="8"/>
      <name val="Comic Sans MS"/>
      <family val="4"/>
    </font>
    <font>
      <sz val="11"/>
      <color indexed="8"/>
      <name val="Calibri"/>
      <family val="2"/>
      <scheme val="minor"/>
    </font>
    <font>
      <b/>
      <sz val="14"/>
      <color theme="1"/>
      <name val="Futura Bk BT"/>
    </font>
    <font>
      <b/>
      <sz val="9"/>
      <color indexed="81"/>
      <name val="Tahoma"/>
      <family val="2"/>
    </font>
    <font>
      <b/>
      <sz val="9"/>
      <name val="Futura BdCn BT"/>
      <family val="2"/>
    </font>
    <font>
      <b/>
      <sz val="10"/>
      <name val="Futura Hv BT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medium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/>
      <right/>
      <top style="thick">
        <color indexed="9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7" fillId="0" borderId="0" applyFont="0" applyFill="0" applyBorder="0" applyAlignment="0" applyProtection="0"/>
  </cellStyleXfs>
  <cellXfs count="503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Font="1"/>
    <xf numFmtId="165" fontId="5" fillId="0" borderId="0" xfId="2" applyNumberFormat="1" applyFont="1" applyBorder="1" applyAlignment="1"/>
    <xf numFmtId="0" fontId="5" fillId="0" borderId="0" xfId="0" applyFont="1" applyAlignment="1"/>
    <xf numFmtId="15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3" fontId="8" fillId="0" borderId="2" xfId="4" applyNumberFormat="1" applyFont="1" applyFill="1" applyBorder="1" applyAlignment="1">
      <alignment vertical="center"/>
    </xf>
    <xf numFmtId="4" fontId="6" fillId="0" borderId="2" xfId="4" applyNumberFormat="1" applyFont="1" applyFill="1" applyBorder="1" applyAlignment="1">
      <alignment horizontal="center" vertical="center"/>
    </xf>
    <xf numFmtId="2" fontId="6" fillId="0" borderId="2" xfId="5" applyNumberFormat="1" applyFont="1" applyFill="1" applyBorder="1" applyAlignment="1">
      <alignment horizontal="center" vertical="center"/>
    </xf>
    <xf numFmtId="165" fontId="5" fillId="0" borderId="0" xfId="2" applyNumberFormat="1" applyFont="1" applyFill="1" applyBorder="1" applyAlignment="1"/>
    <xf numFmtId="0" fontId="6" fillId="0" borderId="2" xfId="0" applyFont="1" applyFill="1" applyBorder="1" applyAlignment="1">
      <alignment horizontal="center" vertical="center" wrapText="1"/>
    </xf>
    <xf numFmtId="0" fontId="12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11" fillId="0" borderId="0" xfId="0" applyFont="1" applyFill="1" applyAlignment="1">
      <alignment vertical="center"/>
    </xf>
    <xf numFmtId="0" fontId="0" fillId="0" borderId="0" xfId="0" applyBorder="1" applyAlignment="1">
      <alignment vertical="justify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3" fontId="8" fillId="0" borderId="2" xfId="8" applyNumberFormat="1" applyFont="1" applyFill="1" applyBorder="1" applyAlignment="1">
      <alignment vertical="center"/>
    </xf>
    <xf numFmtId="3" fontId="8" fillId="4" borderId="2" xfId="4" applyNumberFormat="1" applyFont="1" applyFill="1" applyBorder="1" applyAlignment="1">
      <alignment vertical="center"/>
    </xf>
    <xf numFmtId="164" fontId="17" fillId="0" borderId="0" xfId="4" applyNumberFormat="1" applyFont="1" applyFill="1" applyBorder="1" applyAlignment="1">
      <alignment vertical="center"/>
    </xf>
    <xf numFmtId="3" fontId="13" fillId="4" borderId="0" xfId="4" applyNumberFormat="1" applyFont="1" applyFill="1" applyBorder="1" applyAlignment="1">
      <alignment vertical="center"/>
    </xf>
    <xf numFmtId="3" fontId="17" fillId="0" borderId="0" xfId="8" applyNumberFormat="1" applyFont="1" applyFill="1" applyBorder="1" applyAlignment="1">
      <alignment vertical="center"/>
    </xf>
    <xf numFmtId="3" fontId="16" fillId="0" borderId="12" xfId="8" applyNumberFormat="1" applyFont="1" applyFill="1" applyBorder="1" applyAlignment="1">
      <alignment vertical="center"/>
    </xf>
    <xf numFmtId="3" fontId="13" fillId="0" borderId="0" xfId="8" applyNumberFormat="1" applyFont="1" applyFill="1" applyBorder="1" applyAlignment="1">
      <alignment vertical="center"/>
    </xf>
    <xf numFmtId="164" fontId="13" fillId="0" borderId="0" xfId="8" applyNumberFormat="1" applyFont="1" applyFill="1" applyBorder="1" applyAlignment="1">
      <alignment horizontal="center" vertical="center"/>
    </xf>
    <xf numFmtId="4" fontId="13" fillId="0" borderId="0" xfId="8" applyNumberFormat="1" applyFont="1" applyFill="1" applyBorder="1" applyAlignment="1">
      <alignment horizontal="center" vertical="center"/>
    </xf>
    <xf numFmtId="10" fontId="13" fillId="0" borderId="0" xfId="9" applyNumberFormat="1" applyFont="1" applyFill="1" applyBorder="1" applyAlignment="1">
      <alignment vertical="center"/>
    </xf>
    <xf numFmtId="10" fontId="13" fillId="0" borderId="0" xfId="5" applyNumberFormat="1" applyFont="1" applyFill="1" applyBorder="1" applyAlignment="1">
      <alignment horizontal="center" vertical="center" wrapText="1"/>
    </xf>
    <xf numFmtId="2" fontId="13" fillId="0" borderId="0" xfId="5" applyNumberFormat="1" applyFont="1" applyFill="1" applyBorder="1" applyAlignment="1">
      <alignment horizontal="center" vertical="center"/>
    </xf>
    <xf numFmtId="3" fontId="13" fillId="0" borderId="0" xfId="5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15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8" fillId="3" borderId="11" xfId="3" applyFont="1" applyFill="1" applyBorder="1" applyAlignment="1">
      <alignment horizontal="center" vertical="center"/>
    </xf>
    <xf numFmtId="43" fontId="17" fillId="3" borderId="10" xfId="1" applyFont="1" applyFill="1" applyBorder="1" applyAlignment="1">
      <alignment vertical="center"/>
    </xf>
    <xf numFmtId="43" fontId="13" fillId="0" borderId="0" xfId="5" applyNumberFormat="1" applyFont="1" applyFill="1" applyBorder="1" applyAlignment="1">
      <alignment horizontal="center" vertical="center" wrapText="1"/>
    </xf>
    <xf numFmtId="0" fontId="17" fillId="0" borderId="0" xfId="3" applyFont="1" applyAlignment="1">
      <alignment horizontal="left"/>
    </xf>
    <xf numFmtId="4" fontId="12" fillId="0" borderId="0" xfId="0" applyNumberFormat="1" applyFont="1"/>
    <xf numFmtId="43" fontId="12" fillId="0" borderId="0" xfId="0" applyNumberFormat="1" applyFont="1"/>
    <xf numFmtId="2" fontId="12" fillId="0" borderId="0" xfId="0" applyNumberFormat="1" applyFont="1"/>
    <xf numFmtId="49" fontId="6" fillId="4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justify" vertical="center" wrapText="1"/>
    </xf>
    <xf numFmtId="10" fontId="6" fillId="0" borderId="2" xfId="5" applyNumberFormat="1" applyFont="1" applyFill="1" applyBorder="1" applyAlignment="1">
      <alignment horizontal="center" vertical="center" wrapText="1"/>
    </xf>
    <xf numFmtId="49" fontId="6" fillId="0" borderId="2" xfId="5" applyNumberFormat="1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center" vertical="center"/>
    </xf>
    <xf numFmtId="164" fontId="17" fillId="0" borderId="0" xfId="1" applyNumberFormat="1" applyFont="1" applyFill="1" applyBorder="1" applyAlignment="1">
      <alignment vertical="center"/>
    </xf>
    <xf numFmtId="43" fontId="17" fillId="0" borderId="0" xfId="1" applyFont="1" applyFill="1" applyBorder="1" applyAlignment="1">
      <alignment vertical="center"/>
    </xf>
    <xf numFmtId="0" fontId="12" fillId="0" borderId="0" xfId="0" applyFont="1" applyFill="1"/>
    <xf numFmtId="0" fontId="0" fillId="0" borderId="0" xfId="0" applyAlignment="1">
      <alignment horizontal="center"/>
    </xf>
    <xf numFmtId="165" fontId="0" fillId="0" borderId="0" xfId="2" applyNumberFormat="1" applyFont="1" applyBorder="1" applyAlignment="1"/>
    <xf numFmtId="43" fontId="24" fillId="0" borderId="0" xfId="1" applyFont="1"/>
    <xf numFmtId="43" fontId="5" fillId="0" borderId="0" xfId="0" applyNumberFormat="1" applyFont="1"/>
    <xf numFmtId="0" fontId="25" fillId="0" borderId="0" xfId="3" applyFont="1" applyAlignment="1">
      <alignment vertical="center"/>
    </xf>
    <xf numFmtId="0" fontId="25" fillId="0" borderId="0" xfId="3" applyFont="1" applyFill="1" applyAlignment="1">
      <alignment vertical="center"/>
    </xf>
    <xf numFmtId="0" fontId="25" fillId="0" borderId="0" xfId="3" applyFont="1" applyBorder="1" applyAlignment="1">
      <alignment horizontal="center"/>
    </xf>
    <xf numFmtId="0" fontId="25" fillId="0" borderId="0" xfId="3" applyFont="1"/>
    <xf numFmtId="0" fontId="25" fillId="0" borderId="0" xfId="0" applyFont="1"/>
    <xf numFmtId="0" fontId="25" fillId="0" borderId="0" xfId="3" applyFont="1" applyAlignment="1">
      <alignment horizontal="center"/>
    </xf>
    <xf numFmtId="0" fontId="26" fillId="0" borderId="0" xfId="3" applyFont="1" applyAlignment="1">
      <alignment horizontal="right"/>
    </xf>
    <xf numFmtId="0" fontId="1" fillId="0" borderId="0" xfId="0" applyFont="1"/>
    <xf numFmtId="0" fontId="10" fillId="3" borderId="13" xfId="3" applyFont="1" applyFill="1" applyBorder="1" applyAlignment="1">
      <alignment horizontal="center" vertical="center" wrapText="1"/>
    </xf>
    <xf numFmtId="0" fontId="10" fillId="3" borderId="14" xfId="3" applyFont="1" applyFill="1" applyBorder="1" applyAlignment="1">
      <alignment horizontal="center" vertical="center" wrapText="1"/>
    </xf>
    <xf numFmtId="0" fontId="27" fillId="7" borderId="14" xfId="3" applyFont="1" applyFill="1" applyBorder="1" applyAlignment="1">
      <alignment horizontal="center" vertical="center" wrapText="1"/>
    </xf>
    <xf numFmtId="3" fontId="10" fillId="8" borderId="14" xfId="3" applyNumberFormat="1" applyFont="1" applyFill="1" applyBorder="1" applyAlignment="1">
      <alignment horizontal="center" vertical="center" wrapText="1"/>
    </xf>
    <xf numFmtId="3" fontId="10" fillId="3" borderId="14" xfId="3" applyNumberFormat="1" applyFont="1" applyFill="1" applyBorder="1" applyAlignment="1">
      <alignment horizontal="center" vertical="center" wrapText="1"/>
    </xf>
    <xf numFmtId="40" fontId="10" fillId="3" borderId="14" xfId="3" applyNumberFormat="1" applyFont="1" applyFill="1" applyBorder="1" applyAlignment="1">
      <alignment horizontal="center" vertical="center" wrapText="1"/>
    </xf>
    <xf numFmtId="0" fontId="10" fillId="3" borderId="17" xfId="3" applyFont="1" applyFill="1" applyBorder="1" applyAlignment="1">
      <alignment horizontal="center" vertical="center" wrapText="1"/>
    </xf>
    <xf numFmtId="0" fontId="11" fillId="0" borderId="0" xfId="3" applyFont="1"/>
    <xf numFmtId="14" fontId="28" fillId="0" borderId="18" xfId="3" applyNumberFormat="1" applyFont="1" applyFill="1" applyBorder="1" applyAlignment="1">
      <alignment horizontal="center" vertical="center" wrapText="1"/>
    </xf>
    <xf numFmtId="0" fontId="28" fillId="0" borderId="18" xfId="3" applyFont="1" applyFill="1" applyBorder="1" applyAlignment="1">
      <alignment horizontal="center" vertical="center" wrapText="1"/>
    </xf>
    <xf numFmtId="0" fontId="6" fillId="4" borderId="18" xfId="7" applyFont="1" applyFill="1" applyBorder="1" applyAlignment="1">
      <alignment horizontal="justify" vertical="center" wrapText="1"/>
    </xf>
    <xf numFmtId="3" fontId="13" fillId="0" borderId="18" xfId="4" applyNumberFormat="1" applyFont="1" applyFill="1" applyBorder="1" applyAlignment="1">
      <alignment vertical="center"/>
    </xf>
    <xf numFmtId="2" fontId="29" fillId="0" borderId="18" xfId="5" applyNumberFormat="1" applyFont="1" applyFill="1" applyBorder="1" applyAlignment="1">
      <alignment horizontal="center" vertical="center"/>
    </xf>
    <xf numFmtId="0" fontId="6" fillId="0" borderId="18" xfId="3" applyFont="1" applyFill="1" applyBorder="1" applyAlignment="1">
      <alignment horizontal="center" vertical="center" wrapText="1"/>
    </xf>
    <xf numFmtId="0" fontId="6" fillId="0" borderId="19" xfId="3" applyFont="1" applyFill="1" applyBorder="1" applyAlignment="1">
      <alignment horizontal="center" vertical="center" wrapText="1"/>
    </xf>
    <xf numFmtId="3" fontId="6" fillId="0" borderId="0" xfId="3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28" fillId="0" borderId="2" xfId="3" applyNumberFormat="1" applyFont="1" applyFill="1" applyBorder="1" applyAlignment="1">
      <alignment horizontal="center" vertical="center" wrapText="1"/>
    </xf>
    <xf numFmtId="0" fontId="28" fillId="0" borderId="2" xfId="3" applyFont="1" applyFill="1" applyBorder="1" applyAlignment="1">
      <alignment horizontal="center" vertical="center" wrapText="1"/>
    </xf>
    <xf numFmtId="0" fontId="6" fillId="4" borderId="2" xfId="7" applyFont="1" applyFill="1" applyBorder="1" applyAlignment="1">
      <alignment horizontal="justify" vertical="center" wrapText="1"/>
    </xf>
    <xf numFmtId="3" fontId="13" fillId="0" borderId="2" xfId="4" applyNumberFormat="1" applyFont="1" applyFill="1" applyBorder="1" applyAlignment="1">
      <alignment vertical="center"/>
    </xf>
    <xf numFmtId="40" fontId="6" fillId="0" borderId="2" xfId="4" applyNumberFormat="1" applyFont="1" applyFill="1" applyBorder="1" applyAlignment="1">
      <alignment vertical="center"/>
    </xf>
    <xf numFmtId="2" fontId="29" fillId="0" borderId="2" xfId="5" applyNumberFormat="1" applyFont="1" applyFill="1" applyBorder="1" applyAlignment="1">
      <alignment horizontal="center" vertical="center"/>
    </xf>
    <xf numFmtId="9" fontId="6" fillId="0" borderId="18" xfId="5" applyNumberFormat="1" applyFont="1" applyFill="1" applyBorder="1" applyAlignment="1">
      <alignment horizontal="center" vertical="center"/>
    </xf>
    <xf numFmtId="9" fontId="6" fillId="0" borderId="2" xfId="5" applyNumberFormat="1" applyFont="1" applyFill="1" applyBorder="1" applyAlignment="1">
      <alignment horizontal="center" vertical="center"/>
    </xf>
    <xf numFmtId="10" fontId="6" fillId="0" borderId="2" xfId="5" applyNumberFormat="1" applyFont="1" applyFill="1" applyBorder="1" applyAlignment="1">
      <alignment horizontal="center" vertical="center"/>
    </xf>
    <xf numFmtId="3" fontId="6" fillId="0" borderId="2" xfId="5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15" fontId="6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3" fontId="8" fillId="0" borderId="8" xfId="4" applyNumberFormat="1" applyFont="1" applyFill="1" applyBorder="1" applyAlignment="1">
      <alignment vertical="center"/>
    </xf>
    <xf numFmtId="3" fontId="6" fillId="0" borderId="8" xfId="4" applyNumberFormat="1" applyFont="1" applyFill="1" applyBorder="1" applyAlignment="1">
      <alignment vertical="center"/>
    </xf>
    <xf numFmtId="40" fontId="6" fillId="0" borderId="8" xfId="4" applyNumberFormat="1" applyFont="1" applyFill="1" applyBorder="1" applyAlignment="1">
      <alignment vertical="center"/>
    </xf>
    <xf numFmtId="4" fontId="6" fillId="0" borderId="8" xfId="4" applyNumberFormat="1" applyFont="1" applyFill="1" applyBorder="1" applyAlignment="1">
      <alignment horizontal="center" vertical="center"/>
    </xf>
    <xf numFmtId="9" fontId="6" fillId="0" borderId="8" xfId="5" applyNumberFormat="1" applyFont="1" applyFill="1" applyBorder="1" applyAlignment="1">
      <alignment horizontal="center" vertical="center"/>
    </xf>
    <xf numFmtId="10" fontId="6" fillId="0" borderId="8" xfId="5" applyNumberFormat="1" applyFont="1" applyFill="1" applyBorder="1" applyAlignment="1">
      <alignment horizontal="center" vertical="center"/>
    </xf>
    <xf numFmtId="2" fontId="6" fillId="0" borderId="8" xfId="5" applyNumberFormat="1" applyFont="1" applyFill="1" applyBorder="1" applyAlignment="1">
      <alignment horizontal="center" vertical="center"/>
    </xf>
    <xf numFmtId="3" fontId="6" fillId="0" borderId="8" xfId="5" applyNumberFormat="1" applyFont="1" applyFill="1" applyBorder="1" applyAlignment="1">
      <alignment horizontal="center" vertical="center"/>
    </xf>
    <xf numFmtId="0" fontId="6" fillId="0" borderId="8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 wrapText="1"/>
    </xf>
    <xf numFmtId="0" fontId="30" fillId="0" borderId="0" xfId="3" applyFont="1" applyAlignment="1">
      <alignment vertical="center"/>
    </xf>
    <xf numFmtId="0" fontId="30" fillId="0" borderId="0" xfId="3" applyFont="1" applyFill="1" applyAlignment="1">
      <alignment vertical="center"/>
    </xf>
    <xf numFmtId="0" fontId="31" fillId="3" borderId="20" xfId="3" applyFont="1" applyFill="1" applyBorder="1" applyAlignment="1">
      <alignment horizontal="center" vertical="center"/>
    </xf>
    <xf numFmtId="3" fontId="8" fillId="8" borderId="21" xfId="4" applyNumberFormat="1" applyFont="1" applyFill="1" applyBorder="1" applyAlignment="1">
      <alignment vertical="center"/>
    </xf>
    <xf numFmtId="0" fontId="6" fillId="0" borderId="0" xfId="3" applyFont="1" applyBorder="1" applyAlignment="1">
      <alignment horizontal="center"/>
    </xf>
    <xf numFmtId="0" fontId="30" fillId="0" borderId="0" xfId="3" applyFont="1"/>
    <xf numFmtId="0" fontId="30" fillId="0" borderId="0" xfId="0" applyFont="1" applyBorder="1"/>
    <xf numFmtId="2" fontId="30" fillId="0" borderId="0" xfId="5" applyNumberFormat="1" applyFont="1" applyFill="1" applyBorder="1" applyAlignment="1">
      <alignment vertical="center"/>
    </xf>
    <xf numFmtId="0" fontId="30" fillId="0" borderId="0" xfId="3" applyFont="1" applyAlignment="1">
      <alignment horizontal="center"/>
    </xf>
    <xf numFmtId="0" fontId="30" fillId="4" borderId="0" xfId="3" applyFont="1" applyFill="1"/>
    <xf numFmtId="43" fontId="30" fillId="4" borderId="0" xfId="6" applyFont="1" applyFill="1"/>
    <xf numFmtId="0" fontId="30" fillId="9" borderId="0" xfId="3" applyFont="1" applyFill="1"/>
    <xf numFmtId="0" fontId="32" fillId="4" borderId="0" xfId="3" applyFont="1" applyFill="1"/>
    <xf numFmtId="3" fontId="30" fillId="0" borderId="0" xfId="3" applyNumberFormat="1" applyFont="1" applyFill="1"/>
    <xf numFmtId="3" fontId="30" fillId="0" borderId="0" xfId="3" applyNumberFormat="1" applyFont="1"/>
    <xf numFmtId="40" fontId="30" fillId="0" borderId="0" xfId="3" applyNumberFormat="1" applyFont="1"/>
    <xf numFmtId="0" fontId="30" fillId="0" borderId="0" xfId="0" applyFont="1"/>
    <xf numFmtId="0" fontId="8" fillId="0" borderId="0" xfId="3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Fill="1"/>
    <xf numFmtId="0" fontId="0" fillId="0" borderId="0" xfId="0" applyFill="1"/>
    <xf numFmtId="43" fontId="0" fillId="0" borderId="0" xfId="1" applyFont="1"/>
    <xf numFmtId="43" fontId="0" fillId="0" borderId="0" xfId="0" applyNumberFormat="1"/>
    <xf numFmtId="43" fontId="0" fillId="0" borderId="0" xfId="0" applyNumberFormat="1" applyFont="1"/>
    <xf numFmtId="3" fontId="5" fillId="0" borderId="0" xfId="0" applyNumberFormat="1" applyFont="1"/>
    <xf numFmtId="43" fontId="1" fillId="0" borderId="0" xfId="1" applyFont="1"/>
    <xf numFmtId="43" fontId="12" fillId="0" borderId="0" xfId="1" applyFont="1"/>
    <xf numFmtId="0" fontId="6" fillId="0" borderId="2" xfId="0" applyFont="1" applyFill="1" applyBorder="1" applyAlignment="1">
      <alignment horizontal="justify" vertical="center" wrapText="1"/>
    </xf>
    <xf numFmtId="3" fontId="6" fillId="0" borderId="2" xfId="4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center" vertical="center" wrapText="1"/>
    </xf>
    <xf numFmtId="1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3" fontId="8" fillId="0" borderId="0" xfId="4" applyNumberFormat="1" applyFont="1" applyFill="1" applyBorder="1" applyAlignment="1">
      <alignment vertical="center"/>
    </xf>
    <xf numFmtId="3" fontId="6" fillId="0" borderId="0" xfId="4" applyNumberFormat="1" applyFont="1" applyFill="1" applyBorder="1" applyAlignment="1">
      <alignment vertical="center"/>
    </xf>
    <xf numFmtId="40" fontId="6" fillId="0" borderId="0" xfId="4" applyNumberFormat="1" applyFont="1" applyFill="1" applyBorder="1" applyAlignment="1">
      <alignment vertical="center"/>
    </xf>
    <xf numFmtId="4" fontId="6" fillId="0" borderId="0" xfId="4" applyNumberFormat="1" applyFont="1" applyFill="1" applyBorder="1" applyAlignment="1">
      <alignment horizontal="center" vertical="center"/>
    </xf>
    <xf numFmtId="9" fontId="6" fillId="0" borderId="0" xfId="5" applyNumberFormat="1" applyFont="1" applyFill="1" applyBorder="1" applyAlignment="1">
      <alignment horizontal="center" vertical="center"/>
    </xf>
    <xf numFmtId="10" fontId="6" fillId="0" borderId="0" xfId="5" applyNumberFormat="1" applyFont="1" applyFill="1" applyBorder="1" applyAlignment="1">
      <alignment horizontal="center" vertical="center"/>
    </xf>
    <xf numFmtId="2" fontId="6" fillId="0" borderId="0" xfId="5" applyNumberFormat="1" applyFont="1" applyFill="1" applyBorder="1" applyAlignment="1">
      <alignment horizontal="center" vertical="center"/>
    </xf>
    <xf numFmtId="3" fontId="6" fillId="0" borderId="0" xfId="5" applyNumberFormat="1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 wrapText="1"/>
    </xf>
    <xf numFmtId="3" fontId="0" fillId="0" borderId="0" xfId="0" applyNumberFormat="1"/>
    <xf numFmtId="44" fontId="0" fillId="0" borderId="0" xfId="2" applyFont="1" applyFill="1" applyAlignment="1">
      <alignment horizontal="center" vertical="center"/>
    </xf>
    <xf numFmtId="0" fontId="36" fillId="0" borderId="0" xfId="0" applyFont="1" applyFill="1" applyAlignment="1">
      <alignment wrapText="1"/>
    </xf>
    <xf numFmtId="0" fontId="0" fillId="10" borderId="0" xfId="0" applyFill="1"/>
    <xf numFmtId="0" fontId="36" fillId="0" borderId="0" xfId="0" applyFont="1" applyFill="1" applyAlignment="1">
      <alignment vertical="center"/>
    </xf>
    <xf numFmtId="44" fontId="37" fillId="0" borderId="0" xfId="2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0" fillId="0" borderId="0" xfId="0" applyFont="1" applyFill="1"/>
    <xf numFmtId="43" fontId="42" fillId="12" borderId="24" xfId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42" fillId="11" borderId="31" xfId="0" applyFont="1" applyFill="1" applyBorder="1" applyAlignment="1">
      <alignment horizontal="center" vertical="center"/>
    </xf>
    <xf numFmtId="43" fontId="42" fillId="12" borderId="3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Fill="1"/>
    <xf numFmtId="0" fontId="47" fillId="0" borderId="3" xfId="0" applyFont="1" applyFill="1" applyBorder="1" applyAlignment="1">
      <alignment vertical="center"/>
    </xf>
    <xf numFmtId="3" fontId="47" fillId="0" borderId="4" xfId="1" applyNumberFormat="1" applyFont="1" applyFill="1" applyBorder="1" applyAlignment="1">
      <alignment vertical="center"/>
    </xf>
    <xf numFmtId="164" fontId="47" fillId="0" borderId="4" xfId="1" applyNumberFormat="1" applyFont="1" applyFill="1" applyBorder="1" applyAlignment="1">
      <alignment vertical="center"/>
    </xf>
    <xf numFmtId="164" fontId="48" fillId="0" borderId="5" xfId="1" applyNumberFormat="1" applyFont="1" applyFill="1" applyBorder="1" applyAlignment="1">
      <alignment vertical="center"/>
    </xf>
    <xf numFmtId="43" fontId="5" fillId="0" borderId="0" xfId="1" applyFont="1" applyFill="1"/>
    <xf numFmtId="164" fontId="47" fillId="0" borderId="2" xfId="1" applyNumberFormat="1" applyFont="1" applyFill="1" applyBorder="1" applyAlignment="1">
      <alignment vertical="center"/>
    </xf>
    <xf numFmtId="3" fontId="47" fillId="0" borderId="2" xfId="1" applyNumberFormat="1" applyFont="1" applyFill="1" applyBorder="1" applyAlignment="1">
      <alignment vertical="center"/>
    </xf>
    <xf numFmtId="3" fontId="48" fillId="0" borderId="6" xfId="1" applyNumberFormat="1" applyFont="1" applyFill="1" applyBorder="1" applyAlignment="1">
      <alignment vertical="center"/>
    </xf>
    <xf numFmtId="164" fontId="5" fillId="0" borderId="0" xfId="0" applyNumberFormat="1" applyFont="1" applyFill="1"/>
    <xf numFmtId="0" fontId="47" fillId="0" borderId="1" xfId="0" applyFont="1" applyFill="1" applyBorder="1" applyAlignment="1">
      <alignment vertical="center" wrapText="1"/>
    </xf>
    <xf numFmtId="43" fontId="5" fillId="0" borderId="0" xfId="0" applyNumberFormat="1" applyFont="1" applyFill="1"/>
    <xf numFmtId="0" fontId="5" fillId="0" borderId="0" xfId="0" applyFont="1" applyFill="1" applyAlignment="1">
      <alignment vertical="center"/>
    </xf>
    <xf numFmtId="0" fontId="49" fillId="0" borderId="0" xfId="0" applyFont="1" applyBorder="1" applyAlignment="1">
      <alignment vertical="top" wrapText="1"/>
    </xf>
    <xf numFmtId="3" fontId="42" fillId="0" borderId="33" xfId="1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3" fontId="42" fillId="0" borderId="0" xfId="1" applyNumberFormat="1" applyFont="1" applyFill="1" applyBorder="1" applyAlignment="1">
      <alignment vertical="center"/>
    </xf>
    <xf numFmtId="164" fontId="42" fillId="0" borderId="0" xfId="1" applyNumberFormat="1" applyFont="1" applyFill="1" applyBorder="1" applyAlignment="1">
      <alignment vertical="center"/>
    </xf>
    <xf numFmtId="3" fontId="42" fillId="0" borderId="0" xfId="1" applyNumberFormat="1" applyFont="1" applyBorder="1" applyAlignment="1">
      <alignment vertical="center"/>
    </xf>
    <xf numFmtId="0" fontId="49" fillId="0" borderId="0" xfId="0" applyFont="1" applyAlignment="1">
      <alignment vertical="top" wrapText="1"/>
    </xf>
    <xf numFmtId="0" fontId="47" fillId="0" borderId="2" xfId="0" applyFont="1" applyBorder="1" applyAlignment="1">
      <alignment horizontal="right"/>
    </xf>
    <xf numFmtId="0" fontId="42" fillId="0" borderId="2" xfId="1" applyNumberFormat="1" applyFont="1" applyBorder="1" applyAlignment="1">
      <alignment horizontal="center"/>
    </xf>
    <xf numFmtId="3" fontId="42" fillId="0" borderId="2" xfId="1" applyNumberFormat="1" applyFont="1" applyFill="1" applyBorder="1"/>
    <xf numFmtId="3" fontId="42" fillId="0" borderId="2" xfId="1" applyNumberFormat="1" applyFont="1" applyBorder="1"/>
    <xf numFmtId="164" fontId="42" fillId="0" borderId="2" xfId="1" applyNumberFormat="1" applyFont="1" applyFill="1" applyBorder="1" applyAlignment="1">
      <alignment vertical="center"/>
    </xf>
    <xf numFmtId="0" fontId="47" fillId="0" borderId="0" xfId="0" applyFont="1" applyBorder="1" applyAlignment="1">
      <alignment horizontal="right"/>
    </xf>
    <xf numFmtId="0" fontId="42" fillId="0" borderId="0" xfId="1" applyNumberFormat="1" applyFont="1" applyBorder="1" applyAlignment="1">
      <alignment horizontal="center"/>
    </xf>
    <xf numFmtId="3" fontId="42" fillId="0" borderId="0" xfId="1" applyNumberFormat="1" applyFont="1" applyBorder="1"/>
    <xf numFmtId="0" fontId="49" fillId="0" borderId="0" xfId="0" applyFont="1" applyAlignment="1">
      <alignment horizontal="left" vertical="top" wrapText="1"/>
    </xf>
    <xf numFmtId="3" fontId="42" fillId="0" borderId="2" xfId="0" applyNumberFormat="1" applyFont="1" applyBorder="1"/>
    <xf numFmtId="3" fontId="42" fillId="0" borderId="0" xfId="1" applyNumberFormat="1" applyFont="1" applyFill="1" applyBorder="1" applyAlignment="1">
      <alignment horizontal="right"/>
    </xf>
    <xf numFmtId="3" fontId="42" fillId="0" borderId="0" xfId="1" applyNumberFormat="1" applyFont="1" applyFill="1" applyBorder="1" applyAlignment="1"/>
    <xf numFmtId="164" fontId="42" fillId="0" borderId="34" xfId="0" applyNumberFormat="1" applyFont="1" applyBorder="1"/>
    <xf numFmtId="3" fontId="42" fillId="0" borderId="0" xfId="1" applyNumberFormat="1" applyFont="1" applyBorder="1" applyAlignment="1">
      <alignment horizontal="center"/>
    </xf>
    <xf numFmtId="3" fontId="42" fillId="0" borderId="0" xfId="1" applyNumberFormat="1" applyFont="1" applyFill="1" applyBorder="1"/>
    <xf numFmtId="0" fontId="50" fillId="0" borderId="0" xfId="0" applyFont="1" applyBorder="1"/>
    <xf numFmtId="43" fontId="50" fillId="0" borderId="0" xfId="1" applyFont="1"/>
    <xf numFmtId="166" fontId="47" fillId="0" borderId="0" xfId="0" applyNumberFormat="1" applyFont="1"/>
    <xf numFmtId="3" fontId="0" fillId="0" borderId="0" xfId="0" applyNumberFormat="1" applyFill="1" applyBorder="1"/>
    <xf numFmtId="0" fontId="0" fillId="0" borderId="0" xfId="0" applyFill="1" applyBorder="1"/>
    <xf numFmtId="0" fontId="52" fillId="0" borderId="0" xfId="0" applyFont="1" applyAlignment="1">
      <alignment horizontal="center" vertical="top"/>
    </xf>
    <xf numFmtId="43" fontId="52" fillId="0" borderId="0" xfId="1" applyFont="1"/>
    <xf numFmtId="43" fontId="52" fillId="0" borderId="0" xfId="0" applyNumberFormat="1" applyFont="1"/>
    <xf numFmtId="0" fontId="0" fillId="0" borderId="0" xfId="0" applyAlignment="1">
      <alignment vertical="top"/>
    </xf>
    <xf numFmtId="43" fontId="52" fillId="0" borderId="0" xfId="0" applyNumberFormat="1" applyFont="1" applyAlignment="1">
      <alignment vertical="top"/>
    </xf>
    <xf numFmtId="43" fontId="52" fillId="0" borderId="0" xfId="1" applyFont="1" applyAlignment="1">
      <alignment vertical="top"/>
    </xf>
    <xf numFmtId="0" fontId="52" fillId="0" borderId="0" xfId="0" applyFont="1"/>
    <xf numFmtId="43" fontId="50" fillId="0" borderId="0" xfId="0" applyNumberFormat="1" applyFont="1"/>
    <xf numFmtId="0" fontId="53" fillId="0" borderId="0" xfId="0" applyFont="1"/>
    <xf numFmtId="43" fontId="53" fillId="0" borderId="0" xfId="1" applyFont="1"/>
    <xf numFmtId="43" fontId="53" fillId="0" borderId="0" xfId="0" applyNumberFormat="1" applyFont="1"/>
    <xf numFmtId="43" fontId="54" fillId="0" borderId="0" xfId="1" applyFont="1" applyAlignment="1"/>
    <xf numFmtId="43" fontId="54" fillId="0" borderId="0" xfId="1" applyFont="1" applyAlignment="1">
      <alignment wrapText="1"/>
    </xf>
    <xf numFmtId="0" fontId="55" fillId="0" borderId="0" xfId="0" applyFont="1" applyAlignment="1">
      <alignment horizontal="center" vertical="center"/>
    </xf>
    <xf numFmtId="3" fontId="0" fillId="0" borderId="0" xfId="0" applyNumberFormat="1" applyFill="1"/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 horizontal="center" vertical="center"/>
    </xf>
    <xf numFmtId="43" fontId="0" fillId="0" borderId="0" xfId="1" applyFont="1" applyAlignment="1">
      <alignment horizontal="center" vertical="center"/>
    </xf>
    <xf numFmtId="43" fontId="5" fillId="0" borderId="0" xfId="1" applyFont="1" applyAlignment="1">
      <alignment horizontal="center" vertical="center"/>
    </xf>
    <xf numFmtId="43" fontId="5" fillId="0" borderId="0" xfId="1" applyFont="1"/>
    <xf numFmtId="8" fontId="0" fillId="0" borderId="0" xfId="0" applyNumberFormat="1"/>
    <xf numFmtId="164" fontId="5" fillId="0" borderId="0" xfId="0" applyNumberFormat="1" applyFont="1" applyFill="1" applyAlignment="1">
      <alignment vertical="center"/>
    </xf>
    <xf numFmtId="4" fontId="42" fillId="0" borderId="0" xfId="1" applyNumberFormat="1" applyFont="1" applyFill="1" applyBorder="1" applyAlignment="1">
      <alignment vertical="center"/>
    </xf>
    <xf numFmtId="0" fontId="58" fillId="0" borderId="0" xfId="0" applyFont="1" applyBorder="1" applyAlignment="1">
      <alignment vertical="top" wrapText="1"/>
    </xf>
    <xf numFmtId="43" fontId="42" fillId="12" borderId="32" xfId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49" fontId="6" fillId="0" borderId="41" xfId="0" applyNumberFormat="1" applyFont="1" applyFill="1" applyBorder="1" applyAlignment="1">
      <alignment horizontal="center" vertical="center"/>
    </xf>
    <xf numFmtId="3" fontId="8" fillId="0" borderId="41" xfId="4" applyNumberFormat="1" applyFont="1" applyFill="1" applyBorder="1" applyAlignment="1">
      <alignment vertical="center"/>
    </xf>
    <xf numFmtId="40" fontId="6" fillId="0" borderId="41" xfId="4" applyNumberFormat="1" applyFont="1" applyFill="1" applyBorder="1" applyAlignment="1">
      <alignment vertical="center"/>
    </xf>
    <xf numFmtId="9" fontId="6" fillId="0" borderId="41" xfId="5" applyNumberFormat="1" applyFont="1" applyFill="1" applyBorder="1" applyAlignment="1">
      <alignment horizontal="center" vertical="center"/>
    </xf>
    <xf numFmtId="10" fontId="6" fillId="0" borderId="41" xfId="5" applyNumberFormat="1" applyFont="1" applyFill="1" applyBorder="1" applyAlignment="1">
      <alignment horizontal="center" vertical="center"/>
    </xf>
    <xf numFmtId="2" fontId="6" fillId="0" borderId="41" xfId="5" applyNumberFormat="1" applyFont="1" applyFill="1" applyBorder="1" applyAlignment="1">
      <alignment horizontal="center" vertical="center"/>
    </xf>
    <xf numFmtId="3" fontId="6" fillId="0" borderId="41" xfId="5" applyNumberFormat="1" applyFont="1" applyFill="1" applyBorder="1" applyAlignment="1">
      <alignment horizontal="center" vertical="center"/>
    </xf>
    <xf numFmtId="3" fontId="14" fillId="5" borderId="38" xfId="0" applyNumberFormat="1" applyFont="1" applyFill="1" applyBorder="1" applyAlignment="1">
      <alignment horizontal="center" vertical="center"/>
    </xf>
    <xf numFmtId="3" fontId="14" fillId="5" borderId="42" xfId="0" applyNumberFormat="1" applyFont="1" applyFill="1" applyBorder="1" applyAlignment="1">
      <alignment horizontal="center" vertical="center"/>
    </xf>
    <xf numFmtId="3" fontId="14" fillId="5" borderId="39" xfId="0" applyNumberFormat="1" applyFont="1" applyFill="1" applyBorder="1" applyAlignment="1">
      <alignment horizontal="center" vertical="center"/>
    </xf>
    <xf numFmtId="0" fontId="14" fillId="5" borderId="37" xfId="0" applyFont="1" applyFill="1" applyBorder="1" applyAlignment="1">
      <alignment horizontal="center" vertical="center"/>
    </xf>
    <xf numFmtId="3" fontId="9" fillId="5" borderId="39" xfId="0" applyNumberFormat="1" applyFont="1" applyFill="1" applyBorder="1" applyAlignment="1">
      <alignment horizontal="center" vertical="justify"/>
    </xf>
    <xf numFmtId="3" fontId="47" fillId="0" borderId="43" xfId="1" applyNumberFormat="1" applyFont="1" applyFill="1" applyBorder="1" applyAlignment="1">
      <alignment vertical="center"/>
    </xf>
    <xf numFmtId="164" fontId="47" fillId="0" borderId="43" xfId="1" applyNumberFormat="1" applyFont="1" applyFill="1" applyBorder="1" applyAlignment="1">
      <alignment vertical="center"/>
    </xf>
    <xf numFmtId="4" fontId="47" fillId="0" borderId="43" xfId="1" applyNumberFormat="1" applyFont="1" applyFill="1" applyBorder="1" applyAlignment="1">
      <alignment vertical="center"/>
    </xf>
    <xf numFmtId="0" fontId="47" fillId="0" borderId="7" xfId="0" applyFont="1" applyFill="1" applyBorder="1" applyAlignment="1">
      <alignment vertical="center" wrapText="1"/>
    </xf>
    <xf numFmtId="9" fontId="6" fillId="0" borderId="2" xfId="9" applyNumberFormat="1" applyFont="1" applyFill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9" fontId="5" fillId="0" borderId="0" xfId="0" applyNumberFormat="1" applyFont="1" applyAlignment="1">
      <alignment horizontal="center"/>
    </xf>
    <xf numFmtId="0" fontId="46" fillId="0" borderId="48" xfId="0" applyFont="1" applyBorder="1" applyAlignment="1">
      <alignment horizontal="center"/>
    </xf>
    <xf numFmtId="164" fontId="46" fillId="0" borderId="0" xfId="1" applyNumberFormat="1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164" fontId="47" fillId="0" borderId="8" xfId="1" applyNumberFormat="1" applyFont="1" applyFill="1" applyBorder="1" applyAlignment="1">
      <alignment vertical="center"/>
    </xf>
    <xf numFmtId="43" fontId="47" fillId="0" borderId="0" xfId="0" applyNumberFormat="1" applyFont="1" applyBorder="1" applyAlignment="1">
      <alignment horizontal="right"/>
    </xf>
    <xf numFmtId="43" fontId="47" fillId="0" borderId="0" xfId="1" applyFont="1" applyBorder="1" applyAlignment="1">
      <alignment horizontal="right"/>
    </xf>
    <xf numFmtId="43" fontId="13" fillId="0" borderId="0" xfId="9" applyNumberFormat="1" applyFont="1" applyFill="1" applyBorder="1" applyAlignment="1">
      <alignment vertical="center"/>
    </xf>
    <xf numFmtId="3" fontId="34" fillId="0" borderId="2" xfId="4" applyNumberFormat="1" applyFont="1" applyFill="1" applyBorder="1" applyAlignment="1">
      <alignment vertical="center"/>
    </xf>
    <xf numFmtId="3" fontId="51" fillId="0" borderId="0" xfId="1" applyNumberFormat="1" applyFont="1" applyBorder="1" applyAlignment="1">
      <alignment vertical="top"/>
    </xf>
    <xf numFmtId="3" fontId="51" fillId="0" borderId="0" xfId="1" applyNumberFormat="1" applyFont="1" applyFill="1" applyBorder="1" applyAlignment="1">
      <alignment vertical="center"/>
    </xf>
    <xf numFmtId="0" fontId="6" fillId="0" borderId="58" xfId="0" applyFont="1" applyFill="1" applyBorder="1" applyAlignment="1">
      <alignment horizontal="center" vertical="center" wrapText="1"/>
    </xf>
    <xf numFmtId="15" fontId="6" fillId="0" borderId="59" xfId="0" applyNumberFormat="1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justify" vertical="center" wrapText="1"/>
    </xf>
    <xf numFmtId="3" fontId="8" fillId="0" borderId="59" xfId="4" applyNumberFormat="1" applyFont="1" applyFill="1" applyBorder="1" applyAlignment="1">
      <alignment vertical="center"/>
    </xf>
    <xf numFmtId="3" fontId="6" fillId="0" borderId="59" xfId="4" applyNumberFormat="1" applyFont="1" applyFill="1" applyBorder="1" applyAlignment="1">
      <alignment vertical="center"/>
    </xf>
    <xf numFmtId="40" fontId="6" fillId="0" borderId="59" xfId="4" applyNumberFormat="1" applyFont="1" applyFill="1" applyBorder="1" applyAlignment="1">
      <alignment vertical="center"/>
    </xf>
    <xf numFmtId="4" fontId="6" fillId="0" borderId="59" xfId="4" applyNumberFormat="1" applyFont="1" applyFill="1" applyBorder="1" applyAlignment="1">
      <alignment horizontal="center" vertical="center"/>
    </xf>
    <xf numFmtId="9" fontId="6" fillId="0" borderId="59" xfId="5" applyNumberFormat="1" applyFont="1" applyFill="1" applyBorder="1" applyAlignment="1">
      <alignment horizontal="center" vertical="center"/>
    </xf>
    <xf numFmtId="10" fontId="6" fillId="0" borderId="59" xfId="5" applyNumberFormat="1" applyFont="1" applyFill="1" applyBorder="1" applyAlignment="1">
      <alignment horizontal="center" vertical="center"/>
    </xf>
    <xf numFmtId="2" fontId="6" fillId="0" borderId="59" xfId="5" applyNumberFormat="1" applyFont="1" applyFill="1" applyBorder="1" applyAlignment="1">
      <alignment horizontal="center" vertical="center"/>
    </xf>
    <xf numFmtId="3" fontId="6" fillId="0" borderId="59" xfId="5" applyNumberFormat="1" applyFont="1" applyFill="1" applyBorder="1" applyAlignment="1">
      <alignment horizontal="center" vertical="center"/>
    </xf>
    <xf numFmtId="43" fontId="47" fillId="0" borderId="43" xfId="1" applyNumberFormat="1" applyFont="1" applyFill="1" applyBorder="1" applyAlignment="1">
      <alignment vertical="center"/>
    </xf>
    <xf numFmtId="164" fontId="47" fillId="0" borderId="6" xfId="1" applyNumberFormat="1" applyFont="1" applyFill="1" applyBorder="1" applyAlignment="1">
      <alignment vertical="center"/>
    </xf>
    <xf numFmtId="164" fontId="47" fillId="0" borderId="61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165" fontId="5" fillId="0" borderId="0" xfId="2" applyNumberFormat="1" applyFont="1" applyFill="1" applyBorder="1" applyAlignment="1">
      <alignment horizontal="center"/>
    </xf>
    <xf numFmtId="164" fontId="42" fillId="0" borderId="0" xfId="1" applyNumberFormat="1" applyFont="1" applyBorder="1" applyAlignment="1">
      <alignment horizontal="center"/>
    </xf>
    <xf numFmtId="43" fontId="42" fillId="0" borderId="0" xfId="1" applyFont="1" applyBorder="1" applyAlignment="1">
      <alignment horizontal="center"/>
    </xf>
    <xf numFmtId="165" fontId="5" fillId="0" borderId="0" xfId="0" applyNumberFormat="1" applyFont="1"/>
    <xf numFmtId="0" fontId="6" fillId="0" borderId="6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0" fontId="6" fillId="0" borderId="18" xfId="4" applyNumberFormat="1" applyFont="1" applyFill="1" applyBorder="1" applyAlignment="1">
      <alignment vertical="center"/>
    </xf>
    <xf numFmtId="10" fontId="6" fillId="0" borderId="18" xfId="5" applyNumberFormat="1" applyFont="1" applyFill="1" applyBorder="1" applyAlignment="1">
      <alignment horizontal="center" vertical="center"/>
    </xf>
    <xf numFmtId="2" fontId="6" fillId="0" borderId="18" xfId="5" applyNumberFormat="1" applyFont="1" applyFill="1" applyBorder="1" applyAlignment="1">
      <alignment horizontal="center" vertical="center"/>
    </xf>
    <xf numFmtId="3" fontId="6" fillId="0" borderId="18" xfId="5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justify" vertical="center" wrapText="1"/>
    </xf>
    <xf numFmtId="0" fontId="41" fillId="0" borderId="0" xfId="0" applyFont="1" applyFill="1" applyAlignment="1">
      <alignment horizontal="center"/>
    </xf>
    <xf numFmtId="164" fontId="42" fillId="0" borderId="0" xfId="0" applyNumberFormat="1" applyFont="1" applyBorder="1"/>
    <xf numFmtId="3" fontId="42" fillId="0" borderId="0" xfId="1" applyNumberFormat="1" applyFont="1" applyBorder="1" applyAlignment="1"/>
    <xf numFmtId="0" fontId="40" fillId="0" borderId="0" xfId="0" applyFont="1" applyFill="1" applyAlignment="1">
      <alignment vertical="center"/>
    </xf>
    <xf numFmtId="0" fontId="15" fillId="3" borderId="63" xfId="0" applyFont="1" applyFill="1" applyBorder="1" applyAlignment="1">
      <alignment horizontal="center" vertical="center" wrapText="1"/>
    </xf>
    <xf numFmtId="0" fontId="15" fillId="3" borderId="64" xfId="0" applyFont="1" applyFill="1" applyBorder="1" applyAlignment="1">
      <alignment horizontal="center" vertical="center" wrapText="1"/>
    </xf>
    <xf numFmtId="0" fontId="15" fillId="3" borderId="67" xfId="0" applyFont="1" applyFill="1" applyBorder="1" applyAlignment="1">
      <alignment horizontal="center" vertical="center" wrapText="1"/>
    </xf>
    <xf numFmtId="3" fontId="42" fillId="0" borderId="73" xfId="1" applyNumberFormat="1" applyFont="1" applyFill="1" applyBorder="1" applyAlignment="1">
      <alignment vertical="center"/>
    </xf>
    <xf numFmtId="164" fontId="47" fillId="0" borderId="73" xfId="1" applyNumberFormat="1" applyFont="1" applyFill="1" applyBorder="1" applyAlignment="1">
      <alignment vertical="center"/>
    </xf>
    <xf numFmtId="0" fontId="6" fillId="0" borderId="2" xfId="3" applyFont="1" applyFill="1" applyBorder="1" applyAlignment="1">
      <alignment horizontal="center" vertical="center" wrapText="1"/>
    </xf>
    <xf numFmtId="0" fontId="6" fillId="0" borderId="6" xfId="3" applyFont="1" applyFill="1" applyBorder="1" applyAlignment="1">
      <alignment horizontal="center" vertical="center" wrapText="1"/>
    </xf>
    <xf numFmtId="0" fontId="30" fillId="0" borderId="0" xfId="3" applyFont="1" applyFill="1"/>
    <xf numFmtId="0" fontId="31" fillId="0" borderId="11" xfId="3" applyFont="1" applyFill="1" applyBorder="1" applyAlignment="1">
      <alignment horizontal="center" vertical="center"/>
    </xf>
    <xf numFmtId="3" fontId="8" fillId="0" borderId="10" xfId="4" applyNumberFormat="1" applyFont="1" applyFill="1" applyBorder="1" applyAlignment="1">
      <alignment vertical="center"/>
    </xf>
    <xf numFmtId="0" fontId="6" fillId="0" borderId="0" xfId="3" applyFont="1" applyFill="1" applyBorder="1" applyAlignment="1">
      <alignment horizontal="center"/>
    </xf>
    <xf numFmtId="0" fontId="30" fillId="0" borderId="0" xfId="0" applyFont="1" applyFill="1" applyBorder="1"/>
    <xf numFmtId="0" fontId="30" fillId="0" borderId="0" xfId="3" applyFont="1" applyFill="1" applyAlignment="1">
      <alignment horizontal="center"/>
    </xf>
    <xf numFmtId="43" fontId="30" fillId="0" borderId="0" xfId="6" applyFont="1" applyFill="1"/>
    <xf numFmtId="0" fontId="32" fillId="0" borderId="0" xfId="3" applyFont="1" applyFill="1"/>
    <xf numFmtId="40" fontId="30" fillId="0" borderId="0" xfId="3" applyNumberFormat="1" applyFont="1" applyFill="1"/>
    <xf numFmtId="0" fontId="30" fillId="0" borderId="0" xfId="0" applyFont="1" applyFill="1"/>
    <xf numFmtId="0" fontId="8" fillId="0" borderId="0" xfId="3" applyFont="1" applyFill="1" applyAlignment="1">
      <alignment horizontal="left"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/>
    <xf numFmtId="167" fontId="1" fillId="0" borderId="0" xfId="0" applyNumberFormat="1" applyFont="1" applyFill="1"/>
    <xf numFmtId="0" fontId="0" fillId="0" borderId="0" xfId="0" applyFill="1" applyAlignment="1">
      <alignment horizontal="center"/>
    </xf>
    <xf numFmtId="49" fontId="6" fillId="0" borderId="59" xfId="0" applyNumberFormat="1" applyFont="1" applyFill="1" applyBorder="1" applyAlignment="1">
      <alignment horizontal="center" vertical="center"/>
    </xf>
    <xf numFmtId="3" fontId="34" fillId="0" borderId="59" xfId="4" applyNumberFormat="1" applyFont="1" applyFill="1" applyBorder="1" applyAlignment="1">
      <alignment vertical="center"/>
    </xf>
    <xf numFmtId="0" fontId="6" fillId="0" borderId="59" xfId="3" applyFont="1" applyFill="1" applyBorder="1" applyAlignment="1">
      <alignment horizontal="center" vertical="center" wrapText="1"/>
    </xf>
    <xf numFmtId="0" fontId="6" fillId="0" borderId="60" xfId="3" applyFont="1" applyFill="1" applyBorder="1" applyAlignment="1">
      <alignment horizontal="center" vertical="center" wrapText="1"/>
    </xf>
    <xf numFmtId="0" fontId="60" fillId="3" borderId="63" xfId="3" applyFont="1" applyFill="1" applyBorder="1" applyAlignment="1">
      <alignment horizontal="center" vertical="center" wrapText="1"/>
    </xf>
    <xf numFmtId="0" fontId="60" fillId="3" borderId="64" xfId="3" applyFont="1" applyFill="1" applyBorder="1" applyAlignment="1">
      <alignment horizontal="center" vertical="center" wrapText="1"/>
    </xf>
    <xf numFmtId="0" fontId="60" fillId="7" borderId="64" xfId="3" applyFont="1" applyFill="1" applyBorder="1" applyAlignment="1">
      <alignment horizontal="center" vertical="center" wrapText="1"/>
    </xf>
    <xf numFmtId="3" fontId="60" fillId="8" borderId="64" xfId="3" applyNumberFormat="1" applyFont="1" applyFill="1" applyBorder="1" applyAlignment="1">
      <alignment horizontal="center" vertical="center" wrapText="1"/>
    </xf>
    <xf numFmtId="3" fontId="60" fillId="3" borderId="64" xfId="3" applyNumberFormat="1" applyFont="1" applyFill="1" applyBorder="1" applyAlignment="1">
      <alignment horizontal="center" vertical="center" wrapText="1"/>
    </xf>
    <xf numFmtId="40" fontId="60" fillId="3" borderId="64" xfId="3" applyNumberFormat="1" applyFont="1" applyFill="1" applyBorder="1" applyAlignment="1">
      <alignment horizontal="center" vertical="center" wrapText="1"/>
    </xf>
    <xf numFmtId="0" fontId="60" fillId="3" borderId="67" xfId="3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justify" vertical="center" wrapText="1"/>
    </xf>
    <xf numFmtId="3" fontId="8" fillId="4" borderId="8" xfId="4" applyNumberFormat="1" applyFont="1" applyFill="1" applyBorder="1" applyAlignment="1">
      <alignment vertical="center"/>
    </xf>
    <xf numFmtId="3" fontId="8" fillId="0" borderId="8" xfId="8" applyNumberFormat="1" applyFont="1" applyFill="1" applyBorder="1" applyAlignment="1">
      <alignment vertical="center"/>
    </xf>
    <xf numFmtId="9" fontId="6" fillId="0" borderId="8" xfId="9" applyNumberFormat="1" applyFont="1" applyFill="1" applyBorder="1" applyAlignment="1">
      <alignment horizontal="center" vertical="center"/>
    </xf>
    <xf numFmtId="10" fontId="6" fillId="0" borderId="8" xfId="5" applyNumberFormat="1" applyFont="1" applyFill="1" applyBorder="1" applyAlignment="1">
      <alignment horizontal="center" vertical="center" wrapText="1"/>
    </xf>
    <xf numFmtId="49" fontId="6" fillId="0" borderId="8" xfId="5" applyNumberFormat="1" applyFont="1" applyFill="1" applyBorder="1" applyAlignment="1">
      <alignment horizontal="center" vertical="center"/>
    </xf>
    <xf numFmtId="3" fontId="15" fillId="3" borderId="75" xfId="0" applyNumberFormat="1" applyFont="1" applyFill="1" applyBorder="1" applyAlignment="1">
      <alignment horizontal="center" vertical="center" wrapText="1"/>
    </xf>
    <xf numFmtId="0" fontId="15" fillId="3" borderId="76" xfId="0" applyFont="1" applyFill="1" applyBorder="1" applyAlignment="1">
      <alignment horizontal="center" vertical="center" wrapText="1"/>
    </xf>
    <xf numFmtId="3" fontId="15" fillId="3" borderId="77" xfId="0" applyNumberFormat="1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/>
    </xf>
    <xf numFmtId="49" fontId="6" fillId="4" borderId="59" xfId="0" applyNumberFormat="1" applyFont="1" applyFill="1" applyBorder="1" applyAlignment="1">
      <alignment horizontal="center" vertical="center"/>
    </xf>
    <xf numFmtId="0" fontId="6" fillId="4" borderId="59" xfId="0" applyFont="1" applyFill="1" applyBorder="1" applyAlignment="1">
      <alignment horizontal="justify" vertical="center" wrapText="1"/>
    </xf>
    <xf numFmtId="9" fontId="6" fillId="0" borderId="59" xfId="9" applyNumberFormat="1" applyFont="1" applyFill="1" applyBorder="1" applyAlignment="1">
      <alignment horizontal="center" vertical="center"/>
    </xf>
    <xf numFmtId="10" fontId="6" fillId="0" borderId="59" xfId="5" applyNumberFormat="1" applyFont="1" applyFill="1" applyBorder="1" applyAlignment="1">
      <alignment horizontal="center" vertical="center" wrapText="1"/>
    </xf>
    <xf numFmtId="49" fontId="6" fillId="0" borderId="59" xfId="5" applyNumberFormat="1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 wrapText="1"/>
    </xf>
    <xf numFmtId="3" fontId="15" fillId="3" borderId="67" xfId="0" applyNumberFormat="1" applyFont="1" applyFill="1" applyBorder="1" applyAlignment="1">
      <alignment horizontal="center" vertical="center" wrapText="1"/>
    </xf>
    <xf numFmtId="49" fontId="6" fillId="0" borderId="71" xfId="0" applyNumberFormat="1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15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49" fontId="6" fillId="4" borderId="18" xfId="0" applyNumberFormat="1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justify" vertical="center" wrapText="1"/>
    </xf>
    <xf numFmtId="3" fontId="8" fillId="0" borderId="18" xfId="4" applyNumberFormat="1" applyFont="1" applyFill="1" applyBorder="1" applyAlignment="1">
      <alignment vertical="center"/>
    </xf>
    <xf numFmtId="4" fontId="6" fillId="0" borderId="18" xfId="4" applyNumberFormat="1" applyFont="1" applyFill="1" applyBorder="1" applyAlignment="1">
      <alignment horizontal="center" vertical="center"/>
    </xf>
    <xf numFmtId="9" fontId="6" fillId="0" borderId="18" xfId="9" applyNumberFormat="1" applyFont="1" applyFill="1" applyBorder="1" applyAlignment="1">
      <alignment horizontal="center" vertical="center"/>
    </xf>
    <xf numFmtId="10" fontId="6" fillId="0" borderId="18" xfId="5" applyNumberFormat="1" applyFont="1" applyFill="1" applyBorder="1" applyAlignment="1">
      <alignment horizontal="center" vertical="center" wrapText="1"/>
    </xf>
    <xf numFmtId="49" fontId="6" fillId="0" borderId="18" xfId="5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/>
    </xf>
    <xf numFmtId="15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49" fontId="6" fillId="4" borderId="12" xfId="0" applyNumberFormat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justify" vertical="center" wrapText="1"/>
    </xf>
    <xf numFmtId="3" fontId="8" fillId="0" borderId="12" xfId="4" applyNumberFormat="1" applyFont="1" applyFill="1" applyBorder="1" applyAlignment="1">
      <alignment vertical="center"/>
    </xf>
    <xf numFmtId="4" fontId="6" fillId="0" borderId="12" xfId="4" applyNumberFormat="1" applyFont="1" applyFill="1" applyBorder="1" applyAlignment="1">
      <alignment horizontal="center" vertical="center"/>
    </xf>
    <xf numFmtId="9" fontId="6" fillId="0" borderId="12" xfId="9" applyNumberFormat="1" applyFont="1" applyFill="1" applyBorder="1" applyAlignment="1">
      <alignment horizontal="center" vertical="center"/>
    </xf>
    <xf numFmtId="10" fontId="6" fillId="0" borderId="12" xfId="5" applyNumberFormat="1" applyFont="1" applyFill="1" applyBorder="1" applyAlignment="1">
      <alignment horizontal="center" vertical="center" wrapText="1"/>
    </xf>
    <xf numFmtId="2" fontId="6" fillId="0" borderId="12" xfId="5" applyNumberFormat="1" applyFont="1" applyFill="1" applyBorder="1" applyAlignment="1">
      <alignment horizontal="center" vertical="center"/>
    </xf>
    <xf numFmtId="49" fontId="6" fillId="0" borderId="12" xfId="5" applyNumberFormat="1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justify" vertical="center" wrapText="1"/>
    </xf>
    <xf numFmtId="0" fontId="6" fillId="0" borderId="4" xfId="0" applyFont="1" applyFill="1" applyBorder="1" applyAlignment="1">
      <alignment horizontal="center" vertical="center" wrapText="1"/>
    </xf>
    <xf numFmtId="15" fontId="6" fillId="0" borderId="70" xfId="0" applyNumberFormat="1" applyFont="1" applyFill="1" applyBorder="1" applyAlignment="1">
      <alignment horizontal="center" vertical="center"/>
    </xf>
    <xf numFmtId="49" fontId="6" fillId="4" borderId="4" xfId="0" applyNumberFormat="1" applyFont="1" applyFill="1" applyBorder="1" applyAlignment="1">
      <alignment horizontal="center" vertical="center"/>
    </xf>
    <xf numFmtId="3" fontId="8" fillId="0" borderId="4" xfId="4" applyNumberFormat="1" applyFont="1" applyFill="1" applyBorder="1" applyAlignment="1">
      <alignment vertical="center"/>
    </xf>
    <xf numFmtId="15" fontId="6" fillId="0" borderId="80" xfId="0" applyNumberFormat="1" applyFont="1" applyFill="1" applyBorder="1" applyAlignment="1">
      <alignment horizontal="center" vertical="center"/>
    </xf>
    <xf numFmtId="3" fontId="15" fillId="3" borderId="76" xfId="0" applyNumberFormat="1" applyFont="1" applyFill="1" applyBorder="1" applyAlignment="1">
      <alignment horizontal="center" vertical="center" wrapText="1"/>
    </xf>
    <xf numFmtId="3" fontId="8" fillId="0" borderId="59" xfId="8" applyNumberFormat="1" applyFont="1" applyFill="1" applyBorder="1" applyAlignment="1">
      <alignment vertical="center"/>
    </xf>
    <xf numFmtId="3" fontId="15" fillId="3" borderId="74" xfId="0" applyNumberFormat="1" applyFont="1" applyFill="1" applyBorder="1" applyAlignment="1">
      <alignment horizontal="center" vertical="center" wrapText="1"/>
    </xf>
    <xf numFmtId="3" fontId="15" fillId="3" borderId="63" xfId="0" applyNumberFormat="1" applyFont="1" applyFill="1" applyBorder="1" applyAlignment="1">
      <alignment horizontal="center" vertical="center" wrapText="1"/>
    </xf>
    <xf numFmtId="3" fontId="8" fillId="0" borderId="69" xfId="4" applyNumberFormat="1" applyFont="1" applyFill="1" applyBorder="1" applyAlignment="1">
      <alignment vertical="center"/>
    </xf>
    <xf numFmtId="3" fontId="8" fillId="4" borderId="71" xfId="4" applyNumberFormat="1" applyFont="1" applyFill="1" applyBorder="1" applyAlignment="1">
      <alignment vertical="center"/>
    </xf>
    <xf numFmtId="3" fontId="8" fillId="0" borderId="4" xfId="8" applyNumberFormat="1" applyFont="1" applyFill="1" applyBorder="1" applyAlignment="1">
      <alignment vertical="center"/>
    </xf>
    <xf numFmtId="3" fontId="8" fillId="0" borderId="18" xfId="8" applyNumberFormat="1" applyFont="1" applyFill="1" applyBorder="1" applyAlignment="1">
      <alignment vertical="center"/>
    </xf>
    <xf numFmtId="3" fontId="8" fillId="0" borderId="12" xfId="8" applyNumberFormat="1" applyFont="1" applyFill="1" applyBorder="1" applyAlignment="1">
      <alignment vertical="center"/>
    </xf>
    <xf numFmtId="15" fontId="6" fillId="0" borderId="81" xfId="0" applyNumberFormat="1" applyFont="1" applyFill="1" applyBorder="1" applyAlignment="1">
      <alignment horizontal="center" vertical="center"/>
    </xf>
    <xf numFmtId="43" fontId="0" fillId="0" borderId="0" xfId="1" applyNumberFormat="1" applyFont="1"/>
    <xf numFmtId="0" fontId="60" fillId="3" borderId="6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6" fillId="0" borderId="8" xfId="0" applyFont="1" applyFill="1" applyBorder="1" applyAlignment="1">
      <alignment horizontal="justify" vertical="center"/>
    </xf>
    <xf numFmtId="0" fontId="13" fillId="0" borderId="59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79" xfId="0" applyFont="1" applyFill="1" applyBorder="1" applyAlignment="1">
      <alignment horizontal="center" vertical="center" wrapText="1"/>
    </xf>
    <xf numFmtId="164" fontId="17" fillId="3" borderId="10" xfId="1" applyNumberFormat="1" applyFont="1" applyFill="1" applyBorder="1" applyAlignment="1">
      <alignment vertical="center"/>
    </xf>
    <xf numFmtId="0" fontId="35" fillId="2" borderId="0" xfId="0" applyFont="1" applyFill="1" applyAlignment="1">
      <alignment horizontal="center" vertical="center" wrapText="1"/>
    </xf>
    <xf numFmtId="0" fontId="35" fillId="2" borderId="0" xfId="0" applyFont="1" applyFill="1" applyAlignment="1">
      <alignment horizontal="center" vertical="center"/>
    </xf>
    <xf numFmtId="0" fontId="38" fillId="2" borderId="0" xfId="0" applyFont="1" applyFill="1" applyAlignment="1">
      <alignment horizontal="center" vertical="center"/>
    </xf>
    <xf numFmtId="0" fontId="40" fillId="2" borderId="0" xfId="0" applyFont="1" applyFill="1" applyAlignment="1">
      <alignment horizontal="center" vertical="center"/>
    </xf>
    <xf numFmtId="0" fontId="42" fillId="7" borderId="50" xfId="0" applyFont="1" applyFill="1" applyBorder="1" applyAlignment="1">
      <alignment horizontal="center" vertical="center"/>
    </xf>
    <xf numFmtId="0" fontId="42" fillId="7" borderId="44" xfId="0" applyFont="1" applyFill="1" applyBorder="1" applyAlignment="1">
      <alignment horizontal="center" vertical="center"/>
    </xf>
    <xf numFmtId="0" fontId="42" fillId="7" borderId="46" xfId="0" applyFont="1" applyFill="1" applyBorder="1" applyAlignment="1">
      <alignment horizontal="center" vertical="center"/>
    </xf>
    <xf numFmtId="0" fontId="42" fillId="11" borderId="51" xfId="0" applyFont="1" applyFill="1" applyBorder="1" applyAlignment="1">
      <alignment horizontal="center" vertical="center"/>
    </xf>
    <xf numFmtId="0" fontId="42" fillId="11" borderId="52" xfId="0" applyFont="1" applyFill="1" applyBorder="1" applyAlignment="1">
      <alignment horizontal="center" vertical="center"/>
    </xf>
    <xf numFmtId="0" fontId="42" fillId="11" borderId="29" xfId="0" applyFont="1" applyFill="1" applyBorder="1" applyAlignment="1">
      <alignment horizontal="center" vertical="center"/>
    </xf>
    <xf numFmtId="0" fontId="42" fillId="11" borderId="30" xfId="0" applyFont="1" applyFill="1" applyBorder="1" applyAlignment="1">
      <alignment horizontal="center" vertical="center"/>
    </xf>
    <xf numFmtId="43" fontId="42" fillId="12" borderId="53" xfId="1" applyFont="1" applyFill="1" applyBorder="1" applyAlignment="1">
      <alignment horizontal="center" vertical="center"/>
    </xf>
    <xf numFmtId="43" fontId="42" fillId="12" borderId="54" xfId="1" applyFont="1" applyFill="1" applyBorder="1" applyAlignment="1">
      <alignment horizontal="center" vertical="center"/>
    </xf>
    <xf numFmtId="43" fontId="42" fillId="12" borderId="55" xfId="1" applyFont="1" applyFill="1" applyBorder="1" applyAlignment="1">
      <alignment horizontal="center" vertical="center"/>
    </xf>
    <xf numFmtId="43" fontId="42" fillId="13" borderId="53" xfId="1" applyFont="1" applyFill="1" applyBorder="1" applyAlignment="1">
      <alignment horizontal="center" vertical="center"/>
    </xf>
    <xf numFmtId="43" fontId="42" fillId="13" borderId="54" xfId="1" applyFont="1" applyFill="1" applyBorder="1" applyAlignment="1">
      <alignment horizontal="center" vertical="center"/>
    </xf>
    <xf numFmtId="43" fontId="42" fillId="13" borderId="55" xfId="1" applyFont="1" applyFill="1" applyBorder="1" applyAlignment="1">
      <alignment horizontal="center" vertical="center"/>
    </xf>
    <xf numFmtId="43" fontId="42" fillId="14" borderId="56" xfId="1" applyFont="1" applyFill="1" applyBorder="1" applyAlignment="1">
      <alignment horizontal="center" vertical="center"/>
    </xf>
    <xf numFmtId="43" fontId="42" fillId="14" borderId="28" xfId="1" applyFont="1" applyFill="1" applyBorder="1" applyAlignment="1">
      <alignment horizontal="center" vertical="center"/>
    </xf>
    <xf numFmtId="43" fontId="42" fillId="14" borderId="32" xfId="1" applyFont="1" applyFill="1" applyBorder="1" applyAlignment="1">
      <alignment horizontal="center" vertical="center"/>
    </xf>
    <xf numFmtId="43" fontId="43" fillId="15" borderId="56" xfId="1" applyFont="1" applyFill="1" applyBorder="1" applyAlignment="1">
      <alignment horizontal="center" vertical="center" wrapText="1"/>
    </xf>
    <xf numFmtId="43" fontId="43" fillId="15" borderId="28" xfId="1" applyFont="1" applyFill="1" applyBorder="1" applyAlignment="1">
      <alignment horizontal="center" vertical="center" wrapText="1"/>
    </xf>
    <xf numFmtId="43" fontId="43" fillId="15" borderId="32" xfId="1" applyFont="1" applyFill="1" applyBorder="1" applyAlignment="1">
      <alignment horizontal="center" vertical="center" wrapText="1"/>
    </xf>
    <xf numFmtId="43" fontId="42" fillId="7" borderId="53" xfId="1" applyFont="1" applyFill="1" applyBorder="1" applyAlignment="1">
      <alignment horizontal="center" vertical="center" wrapText="1"/>
    </xf>
    <xf numFmtId="43" fontId="42" fillId="7" borderId="54" xfId="1" applyFont="1" applyFill="1" applyBorder="1" applyAlignment="1">
      <alignment horizontal="center" vertical="center" wrapText="1"/>
    </xf>
    <xf numFmtId="0" fontId="44" fillId="10" borderId="57" xfId="0" applyFont="1" applyFill="1" applyBorder="1" applyAlignment="1">
      <alignment horizontal="center" vertical="center"/>
    </xf>
    <xf numFmtId="0" fontId="44" fillId="10" borderId="45" xfId="0" applyFont="1" applyFill="1" applyBorder="1" applyAlignment="1">
      <alignment horizontal="center" vertical="center"/>
    </xf>
    <xf numFmtId="0" fontId="44" fillId="10" borderId="47" xfId="0" applyFont="1" applyFill="1" applyBorder="1" applyAlignment="1">
      <alignment horizontal="center" vertical="center"/>
    </xf>
    <xf numFmtId="43" fontId="42" fillId="12" borderId="23" xfId="1" applyFont="1" applyFill="1" applyBorder="1" applyAlignment="1">
      <alignment horizontal="center" vertical="center" wrapText="1"/>
    </xf>
    <xf numFmtId="43" fontId="42" fillId="12" borderId="32" xfId="1" applyFont="1" applyFill="1" applyBorder="1" applyAlignment="1">
      <alignment horizontal="center" vertical="center" wrapText="1"/>
    </xf>
    <xf numFmtId="43" fontId="42" fillId="12" borderId="25" xfId="1" applyFont="1" applyFill="1" applyBorder="1" applyAlignment="1">
      <alignment horizontal="center" vertical="top"/>
    </xf>
    <xf numFmtId="43" fontId="42" fillId="12" borderId="26" xfId="1" applyFont="1" applyFill="1" applyBorder="1" applyAlignment="1">
      <alignment horizontal="center" vertical="top"/>
    </xf>
    <xf numFmtId="43" fontId="42" fillId="12" borderId="27" xfId="1" applyFont="1" applyFill="1" applyBorder="1" applyAlignment="1">
      <alignment horizontal="center" vertical="top"/>
    </xf>
    <xf numFmtId="43" fontId="45" fillId="7" borderId="23" xfId="1" applyFont="1" applyFill="1" applyBorder="1" applyAlignment="1">
      <alignment horizontal="center" vertical="center" wrapText="1"/>
    </xf>
    <xf numFmtId="43" fontId="45" fillId="7" borderId="32" xfId="1" applyFont="1" applyFill="1" applyBorder="1" applyAlignment="1">
      <alignment horizontal="center" vertical="center" wrapText="1"/>
    </xf>
    <xf numFmtId="3" fontId="51" fillId="0" borderId="0" xfId="1" applyNumberFormat="1" applyFont="1" applyBorder="1" applyAlignment="1">
      <alignment horizontal="center" vertical="top"/>
    </xf>
    <xf numFmtId="3" fontId="51" fillId="0" borderId="0" xfId="1" applyNumberFormat="1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/>
    </xf>
    <xf numFmtId="3" fontId="42" fillId="0" borderId="0" xfId="1" applyNumberFormat="1" applyFont="1" applyBorder="1" applyAlignment="1">
      <alignment horizontal="center"/>
    </xf>
    <xf numFmtId="43" fontId="42" fillId="13" borderId="31" xfId="1" applyFont="1" applyFill="1" applyBorder="1" applyAlignment="1">
      <alignment horizontal="center" vertical="center" wrapText="1"/>
    </xf>
    <xf numFmtId="43" fontId="46" fillId="0" borderId="0" xfId="1" applyFont="1" applyAlignment="1">
      <alignment horizontal="center"/>
    </xf>
    <xf numFmtId="0" fontId="49" fillId="0" borderId="0" xfId="0" applyFont="1" applyAlignment="1">
      <alignment horizontal="center"/>
    </xf>
    <xf numFmtId="43" fontId="49" fillId="0" borderId="0" xfId="1" applyFont="1" applyAlignment="1">
      <alignment horizontal="center" wrapText="1"/>
    </xf>
    <xf numFmtId="43" fontId="49" fillId="0" borderId="0" xfId="1" applyFont="1" applyAlignment="1">
      <alignment horizontal="center"/>
    </xf>
    <xf numFmtId="3" fontId="51" fillId="0" borderId="0" xfId="1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top"/>
    </xf>
    <xf numFmtId="0" fontId="52" fillId="0" borderId="0" xfId="0" applyFont="1" applyFill="1" applyAlignment="1">
      <alignment horizontal="center" vertical="top" wrapText="1"/>
    </xf>
    <xf numFmtId="0" fontId="60" fillId="3" borderId="65" xfId="0" applyFont="1" applyFill="1" applyBorder="1" applyAlignment="1">
      <alignment horizontal="center" vertical="center" wrapText="1"/>
    </xf>
    <xf numFmtId="0" fontId="60" fillId="3" borderId="6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5" fontId="5" fillId="0" borderId="2" xfId="2" applyNumberFormat="1" applyFont="1" applyFill="1" applyBorder="1" applyAlignment="1">
      <alignment horizontal="center"/>
    </xf>
    <xf numFmtId="165" fontId="5" fillId="0" borderId="6" xfId="2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165" fontId="5" fillId="0" borderId="8" xfId="2" applyNumberFormat="1" applyFont="1" applyFill="1" applyBorder="1" applyAlignment="1">
      <alignment horizontal="center"/>
    </xf>
    <xf numFmtId="165" fontId="5" fillId="0" borderId="9" xfId="2" applyNumberFormat="1" applyFont="1" applyFill="1" applyBorder="1" applyAlignment="1">
      <alignment horizontal="center"/>
    </xf>
    <xf numFmtId="3" fontId="9" fillId="6" borderId="36" xfId="3" applyNumberFormat="1" applyFont="1" applyFill="1" applyBorder="1" applyAlignment="1">
      <alignment horizontal="center" vertical="center"/>
    </xf>
    <xf numFmtId="3" fontId="9" fillId="6" borderId="22" xfId="3" applyNumberFormat="1" applyFont="1" applyFill="1" applyBorder="1" applyAlignment="1">
      <alignment horizontal="center" vertical="center"/>
    </xf>
    <xf numFmtId="3" fontId="9" fillId="6" borderId="38" xfId="3" applyNumberFormat="1" applyFont="1" applyFill="1" applyBorder="1" applyAlignment="1">
      <alignment horizontal="center" vertical="center"/>
    </xf>
    <xf numFmtId="17" fontId="61" fillId="0" borderId="35" xfId="3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33" fillId="2" borderId="0" xfId="0" applyFont="1" applyFill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2" applyNumberFormat="1" applyFont="1" applyFill="1" applyBorder="1" applyAlignment="1">
      <alignment horizontal="center"/>
    </xf>
    <xf numFmtId="165" fontId="5" fillId="0" borderId="5" xfId="2" applyNumberFormat="1" applyFont="1" applyFill="1" applyBorder="1" applyAlignment="1">
      <alignment horizontal="center"/>
    </xf>
    <xf numFmtId="40" fontId="9" fillId="6" borderId="38" xfId="3" applyNumberFormat="1" applyFont="1" applyFill="1" applyBorder="1" applyAlignment="1">
      <alignment horizontal="center" vertical="center"/>
    </xf>
    <xf numFmtId="40" fontId="9" fillId="6" borderId="22" xfId="3" applyNumberFormat="1" applyFont="1" applyFill="1" applyBorder="1" applyAlignment="1">
      <alignment horizontal="center" vertical="center"/>
    </xf>
    <xf numFmtId="3" fontId="9" fillId="6" borderId="37" xfId="3" applyNumberFormat="1" applyFont="1" applyFill="1" applyBorder="1" applyAlignment="1">
      <alignment horizontal="center" vertical="center"/>
    </xf>
    <xf numFmtId="40" fontId="9" fillId="6" borderId="39" xfId="3" applyNumberFormat="1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165" fontId="5" fillId="0" borderId="2" xfId="2" applyNumberFormat="1" applyFont="1" applyBorder="1" applyAlignment="1">
      <alignment horizontal="center"/>
    </xf>
    <xf numFmtId="165" fontId="5" fillId="0" borderId="6" xfId="2" applyNumberFormat="1" applyFont="1" applyBorder="1" applyAlignment="1">
      <alignment horizontal="center"/>
    </xf>
    <xf numFmtId="0" fontId="62" fillId="0" borderId="7" xfId="0" applyFont="1" applyFill="1" applyBorder="1" applyAlignment="1">
      <alignment horizontal="center" wrapText="1"/>
    </xf>
    <xf numFmtId="0" fontId="62" fillId="0" borderId="8" xfId="0" applyFont="1" applyFill="1" applyBorder="1" applyAlignment="1">
      <alignment horizontal="center" wrapText="1"/>
    </xf>
    <xf numFmtId="0" fontId="5" fillId="0" borderId="68" xfId="0" applyFont="1" applyBorder="1" applyAlignment="1">
      <alignment horizontal="center" wrapText="1"/>
    </xf>
    <xf numFmtId="0" fontId="5" fillId="0" borderId="69" xfId="0" applyFont="1" applyBorder="1" applyAlignment="1">
      <alignment horizontal="center" wrapText="1"/>
    </xf>
    <xf numFmtId="165" fontId="5" fillId="0" borderId="70" xfId="2" applyNumberFormat="1" applyFont="1" applyBorder="1" applyAlignment="1">
      <alignment horizontal="center"/>
    </xf>
    <xf numFmtId="165" fontId="5" fillId="0" borderId="71" xfId="2" applyNumberFormat="1" applyFont="1" applyBorder="1" applyAlignment="1">
      <alignment horizontal="center"/>
    </xf>
    <xf numFmtId="165" fontId="5" fillId="0" borderId="72" xfId="2" applyNumberFormat="1" applyFont="1" applyBorder="1" applyAlignment="1">
      <alignment horizontal="center"/>
    </xf>
    <xf numFmtId="0" fontId="21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165" fontId="5" fillId="0" borderId="4" xfId="2" applyNumberFormat="1" applyFont="1" applyBorder="1" applyAlignment="1">
      <alignment horizontal="center"/>
    </xf>
    <xf numFmtId="165" fontId="5" fillId="0" borderId="5" xfId="2" applyNumberFormat="1" applyFont="1" applyBorder="1" applyAlignment="1">
      <alignment horizontal="center"/>
    </xf>
    <xf numFmtId="49" fontId="63" fillId="0" borderId="0" xfId="0" applyNumberFormat="1" applyFont="1" applyAlignment="1">
      <alignment horizontal="center"/>
    </xf>
    <xf numFmtId="0" fontId="16" fillId="0" borderId="0" xfId="0" applyFont="1" applyFill="1" applyBorder="1" applyAlignment="1">
      <alignment horizontal="left" vertical="center" wrapText="1"/>
    </xf>
    <xf numFmtId="0" fontId="10" fillId="3" borderId="64" xfId="7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top" wrapText="1"/>
    </xf>
    <xf numFmtId="0" fontId="19" fillId="2" borderId="0" xfId="0" applyFont="1" applyFill="1" applyAlignment="1">
      <alignment vertical="top" wrapText="1"/>
    </xf>
    <xf numFmtId="0" fontId="21" fillId="2" borderId="0" xfId="0" applyFont="1" applyFill="1" applyAlignment="1">
      <alignment vertical="center" wrapText="1"/>
    </xf>
  </cellXfs>
  <cellStyles count="11">
    <cellStyle name="Millares" xfId="1" builtinId="3"/>
    <cellStyle name="Millares 14 10" xfId="8"/>
    <cellStyle name="Millares 2 3" xfId="4"/>
    <cellStyle name="Millares 32" xfId="6"/>
    <cellStyle name="Millares 5" xfId="10"/>
    <cellStyle name="Moneda" xfId="2" builtinId="4"/>
    <cellStyle name="Normal" xfId="0" builtinId="0"/>
    <cellStyle name="Normal 10" xfId="7"/>
    <cellStyle name="Normal 2" xfId="3"/>
    <cellStyle name="Porcentual 14 10" xfId="9"/>
    <cellStyle name="Porcentual 2 3" xfId="5"/>
  </cellStyles>
  <dxfs count="0"/>
  <tableStyles count="0" defaultTableStyle="TableStyleMedium2" defaultPivotStyle="PivotStyleLight16"/>
  <colors>
    <mruColors>
      <color rgb="FF66FF66"/>
      <color rgb="FFFFCCFF"/>
      <color rgb="FFFF99CC"/>
      <color rgb="FFCC99FF"/>
      <color rgb="FFFFFF66"/>
      <color rgb="FF66FFFF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164223</xdr:colOff>
      <xdr:row>5</xdr:row>
      <xdr:rowOff>279181</xdr:rowOff>
    </xdr:from>
    <xdr:to>
      <xdr:col>1</xdr:col>
      <xdr:colOff>4434051</xdr:colOff>
      <xdr:row>8</xdr:row>
      <xdr:rowOff>16422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9094" y="1707931"/>
          <a:ext cx="4269828" cy="1987112"/>
        </a:xfrm>
        <a:prstGeom prst="rect">
          <a:avLst/>
        </a:prstGeom>
      </xdr:spPr>
    </xdr:pic>
    <xdr:clientData/>
  </xdr:twoCellAnchor>
  <xdr:twoCellAnchor editAs="oneCell">
    <xdr:from>
      <xdr:col>22</xdr:col>
      <xdr:colOff>985343</xdr:colOff>
      <xdr:row>5</xdr:row>
      <xdr:rowOff>279180</xdr:rowOff>
    </xdr:from>
    <xdr:to>
      <xdr:col>24</xdr:col>
      <xdr:colOff>1280947</xdr:colOff>
      <xdr:row>8</xdr:row>
      <xdr:rowOff>49266</xdr:rowOff>
    </xdr:to>
    <xdr:pic>
      <xdr:nvPicPr>
        <xdr:cNvPr id="6" name="Imagen 5" descr="D:\Mi Información\Downloads\LOGO 2021-2024_COLOR (1)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96593" y="1707930"/>
          <a:ext cx="3235216" cy="20199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76200</xdr:rowOff>
    </xdr:from>
    <xdr:to>
      <xdr:col>3</xdr:col>
      <xdr:colOff>104775</xdr:colOff>
      <xdr:row>2</xdr:row>
      <xdr:rowOff>466725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266700"/>
          <a:ext cx="2000250" cy="1038225"/>
        </a:xfrm>
        <a:prstGeom prst="rect">
          <a:avLst/>
        </a:prstGeom>
      </xdr:spPr>
    </xdr:pic>
    <xdr:clientData/>
  </xdr:twoCellAnchor>
  <xdr:twoCellAnchor editAs="oneCell">
    <xdr:from>
      <xdr:col>18</xdr:col>
      <xdr:colOff>352425</xdr:colOff>
      <xdr:row>1</xdr:row>
      <xdr:rowOff>114300</xdr:rowOff>
    </xdr:from>
    <xdr:to>
      <xdr:col>20</xdr:col>
      <xdr:colOff>657225</xdr:colOff>
      <xdr:row>2</xdr:row>
      <xdr:rowOff>495300</xdr:rowOff>
    </xdr:to>
    <xdr:pic>
      <xdr:nvPicPr>
        <xdr:cNvPr id="5" name="Imagen 4" descr="D:\Mi Información\Downloads\LOGO 2021-2024_COLOR (1)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304800"/>
          <a:ext cx="1981200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809625</xdr:colOff>
      <xdr:row>1</xdr:row>
      <xdr:rowOff>142875</xdr:rowOff>
    </xdr:from>
    <xdr:to>
      <xdr:col>20</xdr:col>
      <xdr:colOff>685800</xdr:colOff>
      <xdr:row>2</xdr:row>
      <xdr:rowOff>523875</xdr:rowOff>
    </xdr:to>
    <xdr:pic>
      <xdr:nvPicPr>
        <xdr:cNvPr id="4" name="Imagen 3" descr="D:\Mi Información\Downloads\LOGO 2021-2024_COLOR (1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82575" y="333375"/>
          <a:ext cx="1981200" cy="1028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</xdr:row>
      <xdr:rowOff>314325</xdr:rowOff>
    </xdr:from>
    <xdr:to>
      <xdr:col>2</xdr:col>
      <xdr:colOff>676275</xdr:colOff>
      <xdr:row>3</xdr:row>
      <xdr:rowOff>57150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04825"/>
          <a:ext cx="2000250" cy="10382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66675</xdr:colOff>
      <xdr:row>1</xdr:row>
      <xdr:rowOff>66674</xdr:rowOff>
    </xdr:from>
    <xdr:to>
      <xdr:col>20</xdr:col>
      <xdr:colOff>752474</xdr:colOff>
      <xdr:row>4</xdr:row>
      <xdr:rowOff>180974</xdr:rowOff>
    </xdr:to>
    <xdr:pic>
      <xdr:nvPicPr>
        <xdr:cNvPr id="4" name="Imagen 3" descr="D:\Mi Información\Downloads\LOGO 2021-2024_COLOR (1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68425" y="257174"/>
          <a:ext cx="1447799" cy="1495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57149</xdr:colOff>
      <xdr:row>1</xdr:row>
      <xdr:rowOff>152400</xdr:rowOff>
    </xdr:from>
    <xdr:to>
      <xdr:col>2</xdr:col>
      <xdr:colOff>771524</xdr:colOff>
      <xdr:row>4</xdr:row>
      <xdr:rowOff>161925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49" y="342900"/>
          <a:ext cx="2238375" cy="1390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S60"/>
  <sheetViews>
    <sheetView zoomScale="58" zoomScaleNormal="58" workbookViewId="0">
      <pane ySplit="1" topLeftCell="A2" activePane="bottomLeft" state="frozen"/>
      <selection pane="bottomLeft" activeCell="B22" sqref="B22"/>
    </sheetView>
  </sheetViews>
  <sheetFormatPr baseColWidth="10" defaultRowHeight="15"/>
  <cols>
    <col min="1" max="1" width="5.28515625" style="129" customWidth="1"/>
    <col min="2" max="2" width="89.140625" customWidth="1"/>
    <col min="3" max="3" width="28.140625" customWidth="1"/>
    <col min="4" max="4" width="23.7109375" customWidth="1"/>
    <col min="5" max="5" width="24.28515625" style="130" hidden="1" customWidth="1"/>
    <col min="6" max="6" width="27.7109375" style="130" hidden="1" customWidth="1"/>
    <col min="7" max="7" width="28.140625" style="130" hidden="1" customWidth="1"/>
    <col min="8" max="8" width="25.28515625" style="130" hidden="1" customWidth="1"/>
    <col min="9" max="10" width="28" style="130" hidden="1" customWidth="1"/>
    <col min="11" max="11" width="22.28515625" style="130" hidden="1" customWidth="1"/>
    <col min="12" max="12" width="23.28515625" style="130" hidden="1" customWidth="1"/>
    <col min="13" max="13" width="24.85546875" style="130" hidden="1" customWidth="1"/>
    <col min="14" max="14" width="23.7109375" style="130" hidden="1" customWidth="1"/>
    <col min="15" max="15" width="19.85546875" style="130" hidden="1" customWidth="1"/>
    <col min="16" max="18" width="20.42578125" style="130" hidden="1" customWidth="1"/>
    <col min="19" max="19" width="24" style="130" customWidth="1"/>
    <col min="20" max="20" width="23.42578125" style="130" customWidth="1"/>
    <col min="21" max="21" width="27.140625" style="130" customWidth="1"/>
    <col min="22" max="22" width="31.28515625" style="130" customWidth="1"/>
    <col min="23" max="23" width="22.85546875" style="130" customWidth="1"/>
    <col min="24" max="24" width="21.140625" style="130" customWidth="1"/>
    <col min="25" max="25" width="27.28515625" style="129" customWidth="1"/>
    <col min="26" max="26" width="22.28515625" style="129" customWidth="1"/>
    <col min="27" max="27" width="47.42578125" style="129" customWidth="1"/>
    <col min="28" max="28" width="28.85546875" style="129" customWidth="1"/>
    <col min="29" max="31" width="11.42578125" style="129"/>
    <col min="32" max="32" width="16.42578125" style="129" bestFit="1" customWidth="1"/>
    <col min="33" max="71" width="11.42578125" style="129"/>
  </cols>
  <sheetData>
    <row r="1" spans="1:71">
      <c r="W1" s="392"/>
    </row>
    <row r="2" spans="1:71" ht="27" customHeight="1">
      <c r="C2" s="130"/>
      <c r="D2" s="153"/>
    </row>
    <row r="3" spans="1:71" ht="27" customHeight="1">
      <c r="C3" s="130"/>
      <c r="D3" s="153"/>
    </row>
    <row r="4" spans="1:71" ht="27" customHeight="1">
      <c r="C4" s="130"/>
      <c r="D4" s="153"/>
    </row>
    <row r="6" spans="1:71" s="156" customFormat="1" ht="60.75" customHeight="1">
      <c r="A6" s="154"/>
      <c r="B6" s="407" t="s">
        <v>163</v>
      </c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7"/>
      <c r="X6" s="407"/>
      <c r="Y6" s="407"/>
      <c r="Z6" s="155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</row>
    <row r="7" spans="1:71" ht="68.25" customHeight="1">
      <c r="A7" s="154"/>
      <c r="B7" s="408" t="s">
        <v>164</v>
      </c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8"/>
      <c r="O7" s="408"/>
      <c r="P7" s="408"/>
      <c r="Q7" s="408"/>
      <c r="R7" s="408"/>
      <c r="S7" s="408"/>
      <c r="T7" s="408"/>
      <c r="U7" s="408"/>
      <c r="V7" s="408"/>
      <c r="W7" s="408"/>
      <c r="X7" s="408"/>
      <c r="Y7" s="408"/>
      <c r="Z7" s="157"/>
    </row>
    <row r="8" spans="1:71" s="156" customFormat="1" ht="48" customHeight="1">
      <c r="A8" s="158"/>
      <c r="B8" s="409" t="s">
        <v>165</v>
      </c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/>
      <c r="U8" s="409"/>
      <c r="V8" s="409"/>
      <c r="W8" s="409"/>
      <c r="X8" s="409"/>
      <c r="Y8" s="409"/>
      <c r="Z8" s="15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</row>
    <row r="9" spans="1:71" s="156" customFormat="1" ht="36">
      <c r="A9" s="158"/>
      <c r="B9" s="410">
        <v>2021</v>
      </c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0"/>
      <c r="Z9" s="15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</row>
    <row r="10" spans="1:71" s="156" customFormat="1" ht="36">
      <c r="A10" s="158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5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</row>
    <row r="11" spans="1:71" s="156" customFormat="1" ht="36">
      <c r="A11" s="158"/>
      <c r="B11" s="160"/>
      <c r="C11" s="160"/>
      <c r="D11" s="160"/>
      <c r="E11" s="297">
        <v>141596333.78999996</v>
      </c>
      <c r="F11" s="297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5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</row>
    <row r="12" spans="1:71" ht="33" customHeight="1" thickBot="1">
      <c r="Y12" s="294" t="s">
        <v>599</v>
      </c>
    </row>
    <row r="13" spans="1:71" s="5" customFormat="1" ht="23.25">
      <c r="A13" s="161"/>
      <c r="B13" s="411" t="s">
        <v>166</v>
      </c>
      <c r="C13" s="414" t="s">
        <v>167</v>
      </c>
      <c r="D13" s="415"/>
      <c r="E13" s="418" t="s">
        <v>168</v>
      </c>
      <c r="F13" s="419"/>
      <c r="G13" s="419"/>
      <c r="H13" s="419"/>
      <c r="I13" s="419"/>
      <c r="J13" s="420"/>
      <c r="K13" s="421" t="s">
        <v>169</v>
      </c>
      <c r="L13" s="422"/>
      <c r="M13" s="422"/>
      <c r="N13" s="422"/>
      <c r="O13" s="422"/>
      <c r="P13" s="423"/>
      <c r="Q13" s="424" t="s">
        <v>170</v>
      </c>
      <c r="R13" s="427" t="s">
        <v>171</v>
      </c>
      <c r="S13" s="430" t="s">
        <v>172</v>
      </c>
      <c r="T13" s="431"/>
      <c r="U13" s="431"/>
      <c r="V13" s="431"/>
      <c r="W13" s="431"/>
      <c r="X13" s="431"/>
      <c r="Y13" s="432" t="s">
        <v>1</v>
      </c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</row>
    <row r="14" spans="1:71" s="5" customFormat="1" ht="21.75" customHeight="1">
      <c r="A14" s="161"/>
      <c r="B14" s="412"/>
      <c r="C14" s="416"/>
      <c r="D14" s="417"/>
      <c r="E14" s="435" t="s">
        <v>173</v>
      </c>
      <c r="F14" s="437" t="s">
        <v>174</v>
      </c>
      <c r="G14" s="438"/>
      <c r="H14" s="439"/>
      <c r="I14" s="162"/>
      <c r="J14" s="435" t="s">
        <v>175</v>
      </c>
      <c r="K14" s="446" t="s">
        <v>176</v>
      </c>
      <c r="L14" s="446" t="s">
        <v>177</v>
      </c>
      <c r="M14" s="446" t="s">
        <v>178</v>
      </c>
      <c r="N14" s="446" t="s">
        <v>179</v>
      </c>
      <c r="O14" s="446" t="s">
        <v>180</v>
      </c>
      <c r="P14" s="446" t="s">
        <v>181</v>
      </c>
      <c r="Q14" s="425"/>
      <c r="R14" s="428"/>
      <c r="S14" s="440" t="s">
        <v>165</v>
      </c>
      <c r="T14" s="440" t="s">
        <v>182</v>
      </c>
      <c r="U14" s="440" t="s">
        <v>183</v>
      </c>
      <c r="V14" s="440" t="s">
        <v>184</v>
      </c>
      <c r="W14" s="440" t="s">
        <v>185</v>
      </c>
      <c r="X14" s="440" t="s">
        <v>180</v>
      </c>
      <c r="Y14" s="433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</row>
    <row r="15" spans="1:71" s="166" customFormat="1" ht="62.25" customHeight="1">
      <c r="A15" s="163"/>
      <c r="B15" s="413"/>
      <c r="C15" s="164" t="s">
        <v>186</v>
      </c>
      <c r="D15" s="164" t="s">
        <v>187</v>
      </c>
      <c r="E15" s="436"/>
      <c r="F15" s="165" t="s">
        <v>176</v>
      </c>
      <c r="G15" s="165" t="s">
        <v>188</v>
      </c>
      <c r="H15" s="165" t="s">
        <v>178</v>
      </c>
      <c r="I15" s="232" t="s">
        <v>189</v>
      </c>
      <c r="J15" s="436"/>
      <c r="K15" s="446"/>
      <c r="L15" s="446"/>
      <c r="M15" s="446"/>
      <c r="N15" s="446"/>
      <c r="O15" s="446"/>
      <c r="P15" s="446"/>
      <c r="Q15" s="426"/>
      <c r="R15" s="429"/>
      <c r="S15" s="441"/>
      <c r="T15" s="441"/>
      <c r="U15" s="441"/>
      <c r="V15" s="441"/>
      <c r="W15" s="441"/>
      <c r="X15" s="441"/>
      <c r="Y15" s="434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</row>
    <row r="16" spans="1:71" s="166" customFormat="1" ht="15.75" customHeight="1" thickBot="1">
      <c r="A16" s="163"/>
      <c r="B16" s="254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6"/>
      <c r="T16" s="256"/>
      <c r="U16" s="256"/>
      <c r="V16" s="256"/>
      <c r="W16" s="256"/>
      <c r="X16" s="256"/>
      <c r="Y16" s="257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</row>
    <row r="17" spans="1:71" s="4" customFormat="1" ht="35.1" customHeight="1">
      <c r="A17" s="167"/>
      <c r="B17" s="168" t="s">
        <v>190</v>
      </c>
      <c r="C17" s="169">
        <f>'PDM '!C5:E5</f>
        <v>149496632.41</v>
      </c>
      <c r="D17" s="169">
        <v>149072410.63</v>
      </c>
      <c r="E17" s="169">
        <f>47500344+3922864.68+7114873.99</f>
        <v>58538082.670000002</v>
      </c>
      <c r="F17" s="169">
        <f>21745701+1962766.4+4955038.34</f>
        <v>28663505.739999998</v>
      </c>
      <c r="G17" s="169">
        <f>3238060.42+540154.09+1250293.75+26202632.67+84066+201970.6+386898.78+453095.16+7286642.35+4193023.09+9920065.38</f>
        <v>53756902.289999999</v>
      </c>
      <c r="H17" s="169">
        <f>368485.6+152879.03+34617.23+183444.16+332619.48+1302711.86+436984.2+415866.49+1659120.19+3227191.61</f>
        <v>8113919.8499999996</v>
      </c>
      <c r="I17" s="169">
        <v>0</v>
      </c>
      <c r="J17" s="169">
        <f>SUM(E17:I17)</f>
        <v>149072410.54999998</v>
      </c>
      <c r="K17" s="169"/>
      <c r="L17" s="169"/>
      <c r="M17" s="169"/>
      <c r="N17" s="169"/>
      <c r="O17" s="169"/>
      <c r="P17" s="169"/>
      <c r="Q17" s="169"/>
      <c r="R17" s="169"/>
      <c r="S17" s="169">
        <f>J17</f>
        <v>149072410.54999998</v>
      </c>
      <c r="T17" s="170">
        <v>0</v>
      </c>
      <c r="U17" s="170">
        <v>0</v>
      </c>
      <c r="V17" s="170">
        <v>0</v>
      </c>
      <c r="W17" s="170">
        <v>0</v>
      </c>
      <c r="X17" s="170">
        <v>0</v>
      </c>
      <c r="Y17" s="171">
        <f>C17-S17</f>
        <v>424221.86000001431</v>
      </c>
      <c r="Z17" s="172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</row>
    <row r="18" spans="1:71" s="4" customFormat="1" ht="69" customHeight="1">
      <c r="A18" s="167"/>
      <c r="B18" s="177" t="s">
        <v>791</v>
      </c>
      <c r="C18" s="174">
        <v>606280243</v>
      </c>
      <c r="D18" s="173">
        <f>FORTAMUNDF!C7</f>
        <v>606055369.38999999</v>
      </c>
      <c r="E18" s="173"/>
      <c r="F18" s="173">
        <v>0</v>
      </c>
      <c r="G18" s="173">
        <v>0</v>
      </c>
      <c r="H18" s="174"/>
      <c r="I18" s="174"/>
      <c r="J18" s="174">
        <f t="shared" ref="J18" si="0">SUM(E18:H18)</f>
        <v>0</v>
      </c>
      <c r="K18" s="174"/>
      <c r="L18" s="174"/>
      <c r="M18" s="174"/>
      <c r="N18" s="174"/>
      <c r="O18" s="174"/>
      <c r="P18" s="174"/>
      <c r="Q18" s="174"/>
      <c r="R18" s="174"/>
      <c r="S18" s="173">
        <v>0</v>
      </c>
      <c r="T18" s="173">
        <v>502950473.55000001</v>
      </c>
      <c r="U18" s="173">
        <v>95940819.939999998</v>
      </c>
      <c r="V18" s="173">
        <v>0</v>
      </c>
      <c r="W18" s="173">
        <v>0</v>
      </c>
      <c r="X18" s="173">
        <v>7164075.9000000004</v>
      </c>
      <c r="Y18" s="175">
        <f t="shared" ref="Y18:Y21" si="1">C18-S18-T18-V18-W18-X18-U18</f>
        <v>224873.6099999845</v>
      </c>
      <c r="Z18" s="176"/>
      <c r="AA18" s="167"/>
      <c r="AB18" s="167"/>
      <c r="AC18" s="167"/>
      <c r="AD18" s="167"/>
      <c r="AE18" s="167"/>
      <c r="AF18" s="178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</row>
    <row r="19" spans="1:71" s="167" customFormat="1" ht="72.75" customHeight="1">
      <c r="B19" s="177" t="s">
        <v>790</v>
      </c>
      <c r="C19" s="174">
        <f>FISMDF!C7+693601.08+109058.73</f>
        <v>223269769.81</v>
      </c>
      <c r="D19" s="174">
        <f>FISMDF!C8</f>
        <v>222041536.85299999</v>
      </c>
      <c r="E19" s="174">
        <v>200803915.25</v>
      </c>
      <c r="F19" s="173">
        <v>0</v>
      </c>
      <c r="G19" s="173">
        <f>107943.8</f>
        <v>107943.8</v>
      </c>
      <c r="H19" s="174">
        <f>102430.16+283390.16+889630.14+667000.16+959041.67+738311.41+128900.02+918349.07</f>
        <v>4687052.79</v>
      </c>
      <c r="I19" s="173">
        <v>0</v>
      </c>
      <c r="J19" s="174">
        <f>SUM(E19:I19)</f>
        <v>205598911.84</v>
      </c>
      <c r="K19" s="174"/>
      <c r="L19" s="174"/>
      <c r="M19" s="174"/>
      <c r="N19" s="174"/>
      <c r="O19" s="174"/>
      <c r="P19" s="174"/>
      <c r="Q19" s="174"/>
      <c r="R19" s="174"/>
      <c r="S19" s="173">
        <f>J19</f>
        <v>205598911.84</v>
      </c>
      <c r="T19" s="173">
        <v>0</v>
      </c>
      <c r="U19" s="173">
        <v>0</v>
      </c>
      <c r="V19" s="173">
        <v>0</v>
      </c>
      <c r="W19" s="173">
        <f>15112934+10095.48+1103766.68</f>
        <v>16226796.16</v>
      </c>
      <c r="X19" s="173">
        <v>215829.6</v>
      </c>
      <c r="Y19" s="175">
        <f>C19-S19-T19-V19-W19-X19-U19</f>
        <v>1228232.2099999986</v>
      </c>
      <c r="Z19" s="176"/>
      <c r="AA19" s="172"/>
      <c r="AB19" s="178"/>
    </row>
    <row r="20" spans="1:71" s="167" customFormat="1" ht="61.5" customHeight="1">
      <c r="B20" s="177" t="s">
        <v>254</v>
      </c>
      <c r="C20" s="174">
        <v>200000</v>
      </c>
      <c r="D20" s="174">
        <f>C20</f>
        <v>200000</v>
      </c>
      <c r="E20" s="173">
        <v>0</v>
      </c>
      <c r="F20" s="173">
        <v>0</v>
      </c>
      <c r="G20" s="173">
        <v>0</v>
      </c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3">
        <v>0</v>
      </c>
      <c r="T20" s="173">
        <v>0</v>
      </c>
      <c r="U20" s="173">
        <v>0</v>
      </c>
      <c r="V20" s="173">
        <v>0</v>
      </c>
      <c r="W20" s="173">
        <f>C20</f>
        <v>200000</v>
      </c>
      <c r="X20" s="173">
        <v>0</v>
      </c>
      <c r="Y20" s="279">
        <f t="shared" si="1"/>
        <v>0</v>
      </c>
      <c r="Z20" s="176"/>
    </row>
    <row r="21" spans="1:71" s="167" customFormat="1" ht="90" customHeight="1" thickBot="1">
      <c r="B21" s="250" t="s">
        <v>255</v>
      </c>
      <c r="C21" s="249">
        <v>8.43</v>
      </c>
      <c r="D21" s="249">
        <v>8.43</v>
      </c>
      <c r="E21" s="258">
        <v>0</v>
      </c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8">
        <v>0</v>
      </c>
      <c r="T21" s="248">
        <v>0</v>
      </c>
      <c r="U21" s="248">
        <v>0</v>
      </c>
      <c r="V21" s="248">
        <v>0</v>
      </c>
      <c r="W21" s="278">
        <v>8.43</v>
      </c>
      <c r="X21" s="248">
        <v>0</v>
      </c>
      <c r="Y21" s="280">
        <f t="shared" si="1"/>
        <v>0</v>
      </c>
      <c r="Z21" s="176"/>
    </row>
    <row r="22" spans="1:71" s="182" customFormat="1" ht="78.75" customHeight="1" thickBot="1">
      <c r="A22" s="179"/>
      <c r="B22" s="231"/>
      <c r="C22" s="181">
        <f t="shared" ref="C22:X22" si="2">SUM(C17:C21)</f>
        <v>979246653.64999998</v>
      </c>
      <c r="D22" s="181">
        <f t="shared" si="2"/>
        <v>977369325.30299985</v>
      </c>
      <c r="E22" s="181">
        <f t="shared" si="2"/>
        <v>259341997.92000002</v>
      </c>
      <c r="F22" s="181">
        <f t="shared" si="2"/>
        <v>28663505.739999998</v>
      </c>
      <c r="G22" s="181">
        <f t="shared" si="2"/>
        <v>53864846.089999996</v>
      </c>
      <c r="H22" s="181">
        <f t="shared" si="2"/>
        <v>12800972.640000001</v>
      </c>
      <c r="I22" s="181">
        <f t="shared" si="2"/>
        <v>0</v>
      </c>
      <c r="J22" s="181">
        <f t="shared" si="2"/>
        <v>354671322.38999999</v>
      </c>
      <c r="K22" s="181">
        <f t="shared" si="2"/>
        <v>0</v>
      </c>
      <c r="L22" s="181">
        <f t="shared" si="2"/>
        <v>0</v>
      </c>
      <c r="M22" s="181">
        <f t="shared" si="2"/>
        <v>0</v>
      </c>
      <c r="N22" s="181">
        <f t="shared" si="2"/>
        <v>0</v>
      </c>
      <c r="O22" s="181">
        <f t="shared" si="2"/>
        <v>0</v>
      </c>
      <c r="P22" s="181">
        <f t="shared" si="2"/>
        <v>0</v>
      </c>
      <c r="Q22" s="181">
        <f t="shared" si="2"/>
        <v>0</v>
      </c>
      <c r="R22" s="181">
        <f t="shared" si="2"/>
        <v>0</v>
      </c>
      <c r="S22" s="181">
        <f t="shared" si="2"/>
        <v>354671322.38999999</v>
      </c>
      <c r="T22" s="181">
        <f t="shared" si="2"/>
        <v>502950473.55000001</v>
      </c>
      <c r="U22" s="181">
        <f t="shared" si="2"/>
        <v>95940819.939999998</v>
      </c>
      <c r="V22" s="302">
        <f t="shared" si="2"/>
        <v>0</v>
      </c>
      <c r="W22" s="301">
        <f t="shared" si="2"/>
        <v>16426804.59</v>
      </c>
      <c r="X22" s="181">
        <f t="shared" si="2"/>
        <v>7379905.5</v>
      </c>
      <c r="Y22" s="181">
        <f>SUM(Y17:Y21)</f>
        <v>1877327.6799999974</v>
      </c>
      <c r="Z22" s="22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</row>
    <row r="23" spans="1:71" s="182" customFormat="1" ht="36" customHeight="1" thickTop="1">
      <c r="A23" s="179"/>
      <c r="B23" s="180"/>
      <c r="C23" s="183"/>
      <c r="D23" s="230"/>
      <c r="E23" s="184"/>
      <c r="F23" s="184"/>
      <c r="G23" s="183"/>
      <c r="H23" s="183"/>
      <c r="I23" s="184"/>
      <c r="J23" s="183"/>
      <c r="K23" s="184"/>
      <c r="L23" s="184"/>
      <c r="M23" s="184"/>
      <c r="N23" s="184"/>
      <c r="O23" s="184"/>
      <c r="P23" s="184"/>
      <c r="Q23" s="184"/>
      <c r="R23" s="184"/>
      <c r="S23" s="185"/>
      <c r="T23" s="184"/>
      <c r="U23" s="184"/>
      <c r="V23" s="184"/>
      <c r="W23" s="184"/>
      <c r="X23" s="184"/>
      <c r="Y23" s="185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</row>
    <row r="24" spans="1:71" s="4" customFormat="1" ht="35.1" customHeight="1">
      <c r="A24" s="167"/>
      <c r="B24" s="186"/>
      <c r="C24" s="187" t="s">
        <v>191</v>
      </c>
      <c r="D24" s="188">
        <v>1000</v>
      </c>
      <c r="E24" s="189">
        <f>F22</f>
        <v>28663505.739999998</v>
      </c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1">
        <f>F22</f>
        <v>28663505.739999998</v>
      </c>
      <c r="U24" s="260"/>
      <c r="V24" s="192"/>
      <c r="W24" s="193"/>
      <c r="X24" s="194"/>
      <c r="Y24" s="194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</row>
    <row r="25" spans="1:71" s="4" customFormat="1" ht="35.1" customHeight="1">
      <c r="A25" s="167"/>
      <c r="B25" s="195"/>
      <c r="C25" s="187" t="s">
        <v>191</v>
      </c>
      <c r="D25" s="188">
        <v>2000</v>
      </c>
      <c r="E25" s="189">
        <f>G22</f>
        <v>53864846.089999996</v>
      </c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1">
        <f>G22</f>
        <v>53864846.089999996</v>
      </c>
      <c r="U25" s="260"/>
      <c r="V25" s="260"/>
      <c r="W25" s="283"/>
      <c r="X25" s="194"/>
      <c r="Y25" s="194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</row>
    <row r="26" spans="1:71" s="4" customFormat="1" ht="35.1" customHeight="1">
      <c r="A26" s="167"/>
      <c r="B26" s="195"/>
      <c r="C26" s="187" t="s">
        <v>191</v>
      </c>
      <c r="D26" s="188">
        <v>3000</v>
      </c>
      <c r="E26" s="189">
        <f>H22</f>
        <v>12800972.640000001</v>
      </c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6">
        <f>H22</f>
        <v>12800972.640000001</v>
      </c>
      <c r="U26" s="259"/>
      <c r="V26" s="259"/>
      <c r="W26" s="284"/>
      <c r="X26" s="194"/>
      <c r="Y26" s="194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</row>
    <row r="27" spans="1:71" s="4" customFormat="1" ht="35.1" customHeight="1">
      <c r="A27" s="167"/>
      <c r="B27" s="195"/>
      <c r="C27" s="187" t="s">
        <v>191</v>
      </c>
      <c r="D27" s="188">
        <v>6000</v>
      </c>
      <c r="E27" s="189">
        <f>E22</f>
        <v>259341997.92000002</v>
      </c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1">
        <f>E22</f>
        <v>259341997.92000002</v>
      </c>
      <c r="U27" s="260"/>
      <c r="V27" s="260"/>
      <c r="W27" s="193"/>
      <c r="X27" s="194"/>
      <c r="Y27" s="194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</row>
    <row r="28" spans="1:71" s="4" customFormat="1" ht="35.1" customHeight="1" thickBot="1">
      <c r="A28" s="167"/>
      <c r="B28" s="195"/>
      <c r="C28" s="197" t="s">
        <v>9</v>
      </c>
      <c r="D28" s="198"/>
      <c r="E28" s="198">
        <f>SUM(E24:E27)</f>
        <v>354671322.38999999</v>
      </c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9">
        <f>S24+S25+S26+S27</f>
        <v>354671322.38999999</v>
      </c>
      <c r="U28" s="198"/>
      <c r="V28" s="198"/>
      <c r="W28" s="200"/>
      <c r="X28" s="194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</row>
    <row r="29" spans="1:71" s="4" customFormat="1" ht="35.1" customHeight="1" thickTop="1">
      <c r="A29" s="167"/>
      <c r="B29" s="195"/>
      <c r="C29" s="197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295"/>
      <c r="U29" s="198"/>
      <c r="V29" s="198"/>
      <c r="W29" s="200"/>
      <c r="X29" s="194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</row>
    <row r="30" spans="1:71" s="4" customFormat="1" ht="35.1" customHeight="1">
      <c r="A30" s="167"/>
      <c r="B30" s="195"/>
      <c r="C30" s="197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295"/>
      <c r="T30" s="227"/>
      <c r="U30" s="198"/>
      <c r="V30" s="198"/>
      <c r="W30" s="200"/>
      <c r="X30" s="194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</row>
    <row r="31" spans="1:71" s="4" customFormat="1" ht="35.1" customHeight="1">
      <c r="A31" s="167"/>
      <c r="B31" s="195"/>
      <c r="C31" s="197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295"/>
      <c r="T31" s="58"/>
      <c r="U31" s="198"/>
      <c r="V31" s="198"/>
      <c r="W31" s="200"/>
      <c r="X31" s="194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</row>
    <row r="32" spans="1:71" s="4" customFormat="1" ht="35.1" customHeight="1">
      <c r="A32" s="167"/>
      <c r="B32" s="444" t="s">
        <v>567</v>
      </c>
      <c r="C32" s="444"/>
      <c r="D32" s="201"/>
      <c r="E32" s="201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227"/>
      <c r="U32" s="194"/>
      <c r="V32" s="296"/>
      <c r="W32" s="445" t="s">
        <v>568</v>
      </c>
      <c r="X32" s="445"/>
      <c r="Y32" s="445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</row>
    <row r="33" spans="1:71" s="4" customFormat="1" ht="21.75" customHeight="1">
      <c r="A33" s="167"/>
      <c r="B33" s="442" t="s">
        <v>305</v>
      </c>
      <c r="C33" s="442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27"/>
      <c r="U33" s="194"/>
      <c r="V33" s="194"/>
      <c r="W33" s="442" t="s">
        <v>192</v>
      </c>
      <c r="X33" s="442"/>
      <c r="Y33" s="442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</row>
    <row r="34" spans="1:71" s="4" customFormat="1" ht="35.1" customHeight="1">
      <c r="A34" s="167"/>
      <c r="B34" s="451" t="s">
        <v>193</v>
      </c>
      <c r="C34" s="451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194"/>
      <c r="U34" s="194"/>
      <c r="V34" s="194"/>
      <c r="W34" s="443" t="s">
        <v>194</v>
      </c>
      <c r="X34" s="443"/>
      <c r="Y34" s="443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</row>
    <row r="35" spans="1:71" ht="35.1" customHeight="1">
      <c r="B35" s="202"/>
      <c r="C35" s="203"/>
      <c r="D35" s="204"/>
      <c r="E35" s="201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5"/>
      <c r="T35" s="206"/>
      <c r="U35" s="206"/>
      <c r="V35" s="206"/>
      <c r="W35" s="443"/>
      <c r="X35" s="443"/>
      <c r="Y35" s="443"/>
    </row>
    <row r="36" spans="1:71" ht="23.25" customHeight="1">
      <c r="B36" s="207"/>
      <c r="C36" s="208"/>
      <c r="D36" s="209"/>
      <c r="E36" s="201"/>
      <c r="F36" s="208"/>
      <c r="G36" s="203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452"/>
      <c r="T36" s="452"/>
      <c r="U36" s="452"/>
      <c r="V36" s="452"/>
      <c r="W36" s="452"/>
      <c r="X36" s="452"/>
      <c r="Y36" s="206"/>
    </row>
    <row r="37" spans="1:71" s="210" customFormat="1" ht="33.75" customHeight="1">
      <c r="B37" s="207"/>
      <c r="C37" s="211"/>
      <c r="D37" s="211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453"/>
      <c r="T37" s="453"/>
      <c r="U37" s="453"/>
      <c r="V37" s="453"/>
      <c r="W37" s="453"/>
      <c r="X37" s="453"/>
    </row>
    <row r="38" spans="1:71" ht="20.25">
      <c r="B38" s="213"/>
      <c r="C38" s="208"/>
      <c r="D38" s="214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453"/>
      <c r="T38" s="453"/>
      <c r="U38" s="453"/>
      <c r="V38" s="453"/>
      <c r="W38" s="453"/>
      <c r="X38" s="453"/>
    </row>
    <row r="39" spans="1:71">
      <c r="B39" s="215"/>
      <c r="C39" s="216"/>
      <c r="D39" s="217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</row>
    <row r="40" spans="1:71" hidden="1">
      <c r="B40" s="215"/>
      <c r="C40" s="215"/>
      <c r="D40" s="215"/>
      <c r="E40" s="216"/>
      <c r="F40" s="216"/>
      <c r="G40" s="216"/>
      <c r="H40" s="216"/>
      <c r="I40" s="216"/>
      <c r="J40" s="216"/>
      <c r="K40" s="216"/>
      <c r="L40" s="216"/>
      <c r="M40" s="216"/>
      <c r="N40" s="447"/>
      <c r="O40" s="447"/>
      <c r="P40" s="447"/>
      <c r="Q40" s="447"/>
      <c r="R40" s="447"/>
      <c r="S40" s="216"/>
      <c r="T40" s="216"/>
      <c r="U40" s="216"/>
      <c r="V40" s="216"/>
      <c r="W40" s="216"/>
      <c r="X40" s="216"/>
    </row>
    <row r="41" spans="1:71" ht="15.75" hidden="1">
      <c r="B41" s="448"/>
      <c r="C41" s="448"/>
      <c r="D41" s="215"/>
      <c r="E41" s="216"/>
      <c r="F41" s="216"/>
      <c r="G41" s="216"/>
      <c r="H41" s="216"/>
      <c r="I41" s="216"/>
      <c r="J41" s="216"/>
      <c r="K41" s="216"/>
      <c r="L41" s="216"/>
      <c r="M41" s="218"/>
      <c r="N41" s="450" t="s">
        <v>192</v>
      </c>
      <c r="O41" s="450"/>
      <c r="P41" s="450"/>
      <c r="Q41" s="450"/>
      <c r="R41" s="450"/>
      <c r="S41" s="450"/>
      <c r="T41" s="450"/>
      <c r="U41" s="450"/>
      <c r="V41" s="450"/>
      <c r="W41" s="450"/>
      <c r="X41" s="450"/>
    </row>
    <row r="42" spans="1:71" ht="15" hidden="1" customHeight="1">
      <c r="B42" s="448"/>
      <c r="C42" s="448"/>
      <c r="D42" s="215"/>
      <c r="E42" s="216"/>
      <c r="F42" s="216"/>
      <c r="G42" s="216"/>
      <c r="H42" s="216"/>
      <c r="I42" s="216"/>
      <c r="J42" s="216"/>
      <c r="K42" s="216"/>
      <c r="L42" s="216"/>
      <c r="M42" s="219"/>
      <c r="N42" s="449" t="s">
        <v>195</v>
      </c>
      <c r="O42" s="449"/>
      <c r="P42" s="449"/>
      <c r="Q42" s="449"/>
      <c r="R42" s="449"/>
      <c r="S42" s="449"/>
      <c r="T42" s="449"/>
      <c r="U42" s="449"/>
      <c r="V42" s="449"/>
      <c r="W42" s="449"/>
      <c r="X42" s="449"/>
    </row>
    <row r="43" spans="1:71" hidden="1">
      <c r="B43" s="215"/>
      <c r="C43" s="215"/>
      <c r="D43" s="215"/>
      <c r="E43" s="216"/>
      <c r="F43" s="216"/>
      <c r="G43" s="216"/>
      <c r="H43" s="216"/>
      <c r="I43" s="216"/>
      <c r="J43" s="216"/>
      <c r="K43" s="216"/>
      <c r="L43" s="216"/>
      <c r="M43" s="219"/>
      <c r="N43" s="449"/>
      <c r="O43" s="449"/>
      <c r="P43" s="449"/>
      <c r="Q43" s="449"/>
      <c r="R43" s="449"/>
      <c r="S43" s="449"/>
      <c r="T43" s="449"/>
      <c r="U43" s="449"/>
      <c r="V43" s="449"/>
      <c r="W43" s="449"/>
      <c r="X43" s="449"/>
    </row>
    <row r="44" spans="1:71">
      <c r="B44" s="220"/>
      <c r="C44" s="216"/>
      <c r="D44" s="215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Z44" s="221"/>
    </row>
    <row r="45" spans="1:71">
      <c r="B45" s="215"/>
      <c r="C45" s="216"/>
      <c r="D45" s="215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</row>
    <row r="46" spans="1:71">
      <c r="B46" s="215"/>
      <c r="C46" s="216"/>
      <c r="D46" s="215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0"/>
      <c r="P46" s="220"/>
      <c r="Q46" s="220"/>
      <c r="R46" s="220"/>
      <c r="S46" s="216"/>
      <c r="T46" s="216"/>
      <c r="U46" s="216"/>
      <c r="V46" s="216"/>
      <c r="W46" s="216"/>
      <c r="X46" s="216"/>
    </row>
    <row r="47" spans="1:71">
      <c r="B47" s="215"/>
      <c r="C47" s="217"/>
      <c r="D47" s="215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</row>
    <row r="48" spans="1:71" ht="24.95" customHeight="1">
      <c r="B48" s="130"/>
      <c r="C48" s="131"/>
      <c r="K48" s="222"/>
      <c r="L48" s="222"/>
      <c r="M48" s="222"/>
      <c r="N48" s="223"/>
      <c r="O48" s="223"/>
      <c r="Q48" s="223"/>
    </row>
    <row r="49" spans="2:17" ht="24.95" customHeight="1">
      <c r="K49" s="222"/>
      <c r="L49" s="222"/>
      <c r="M49" s="222"/>
      <c r="N49" s="224"/>
      <c r="O49" s="223"/>
      <c r="P49" s="223"/>
      <c r="Q49" s="223"/>
    </row>
    <row r="50" spans="2:17" ht="24.95" customHeight="1">
      <c r="K50" s="225"/>
      <c r="L50" s="225"/>
      <c r="M50" s="225"/>
      <c r="N50" s="224"/>
      <c r="O50" s="223"/>
      <c r="Q50" s="223"/>
    </row>
    <row r="51" spans="2:17" ht="24.95" customHeight="1">
      <c r="K51" s="225"/>
      <c r="L51" s="225"/>
      <c r="M51" s="225"/>
      <c r="N51" s="224"/>
      <c r="O51" s="223"/>
      <c r="P51" s="226"/>
      <c r="Q51" s="223"/>
    </row>
    <row r="52" spans="2:17" ht="24.95" customHeight="1">
      <c r="P52" s="227"/>
    </row>
    <row r="53" spans="2:17" ht="24.95" customHeight="1">
      <c r="B53" s="228"/>
      <c r="P53" s="227"/>
    </row>
    <row r="54" spans="2:17" ht="24.95" customHeight="1">
      <c r="B54" s="130"/>
      <c r="O54" s="227"/>
      <c r="P54" s="227"/>
    </row>
    <row r="55" spans="2:17" ht="24.95" customHeight="1">
      <c r="B55" s="131"/>
      <c r="O55" s="227"/>
    </row>
    <row r="56" spans="2:17" ht="24.95" customHeight="1">
      <c r="O56" s="227"/>
    </row>
    <row r="57" spans="2:17" ht="24.95" customHeight="1"/>
    <row r="58" spans="2:17" ht="24.95" customHeight="1"/>
    <row r="59" spans="2:17" ht="24.95" customHeight="1"/>
    <row r="60" spans="2:17" ht="24.95" customHeight="1"/>
  </sheetData>
  <mergeCells count="40">
    <mergeCell ref="N40:R40"/>
    <mergeCell ref="B42:C42"/>
    <mergeCell ref="N42:X43"/>
    <mergeCell ref="X14:X15"/>
    <mergeCell ref="P14:P15"/>
    <mergeCell ref="S14:S15"/>
    <mergeCell ref="T14:T15"/>
    <mergeCell ref="U14:U15"/>
    <mergeCell ref="B41:C41"/>
    <mergeCell ref="N41:X41"/>
    <mergeCell ref="V14:V15"/>
    <mergeCell ref="B33:C33"/>
    <mergeCell ref="B34:C34"/>
    <mergeCell ref="S36:X36"/>
    <mergeCell ref="S37:X38"/>
    <mergeCell ref="J14:J15"/>
    <mergeCell ref="W33:Y33"/>
    <mergeCell ref="W34:Y35"/>
    <mergeCell ref="B32:C32"/>
    <mergeCell ref="W32:Y32"/>
    <mergeCell ref="L14:L15"/>
    <mergeCell ref="M14:M15"/>
    <mergeCell ref="N14:N15"/>
    <mergeCell ref="O14:O15"/>
    <mergeCell ref="K14:K15"/>
    <mergeCell ref="B6:Y6"/>
    <mergeCell ref="B7:Y7"/>
    <mergeCell ref="B8:Y8"/>
    <mergeCell ref="B9:Y9"/>
    <mergeCell ref="B13:B15"/>
    <mergeCell ref="C13:D14"/>
    <mergeCell ref="E13:J13"/>
    <mergeCell ref="K13:P13"/>
    <mergeCell ref="Q13:Q15"/>
    <mergeCell ref="R13:R15"/>
    <mergeCell ref="S13:X13"/>
    <mergeCell ref="Y13:Y15"/>
    <mergeCell ref="E14:E15"/>
    <mergeCell ref="F14:H14"/>
    <mergeCell ref="W14:W15"/>
  </mergeCells>
  <printOptions horizontalCentered="1"/>
  <pageMargins left="0" right="0" top="0" bottom="0" header="0.31496062992125984" footer="0.31496062992125984"/>
  <pageSetup scale="42" orientation="landscape" horizontalDpi="4294967295" verticalDpi="4294967295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zoomScaleNormal="100" workbookViewId="0">
      <pane ySplit="1" topLeftCell="A2" activePane="bottomLeft" state="frozen"/>
      <selection pane="bottomLeft" activeCell="G56" sqref="G56"/>
    </sheetView>
  </sheetViews>
  <sheetFormatPr baseColWidth="10" defaultRowHeight="15"/>
  <cols>
    <col min="1" max="1" width="8.85546875" customWidth="1"/>
    <col min="2" max="2" width="11" customWidth="1"/>
    <col min="3" max="3" width="13" customWidth="1"/>
    <col min="4" max="4" width="10" customWidth="1"/>
    <col min="5" max="5" width="9.28515625" customWidth="1"/>
    <col min="6" max="6" width="31.42578125" customWidth="1"/>
    <col min="7" max="7" width="15.85546875" bestFit="1" customWidth="1"/>
    <col min="8" max="8" width="13" hidden="1" customWidth="1"/>
    <col min="9" max="9" width="15.140625" bestFit="1" customWidth="1"/>
    <col min="10" max="10" width="12.7109375" hidden="1" customWidth="1"/>
    <col min="11" max="11" width="14.42578125" bestFit="1" customWidth="1"/>
    <col min="12" max="12" width="19.85546875" hidden="1" customWidth="1"/>
    <col min="13" max="13" width="13.28515625" customWidth="1"/>
    <col min="14" max="14" width="10.85546875" style="55" customWidth="1"/>
    <col min="15" max="15" width="10" style="55" customWidth="1"/>
    <col min="16" max="17" width="8.28515625" customWidth="1"/>
    <col min="18" max="18" width="11.28515625" customWidth="1"/>
    <col min="19" max="19" width="12.85546875" customWidth="1"/>
    <col min="20" max="20" width="12.28515625" style="5" customWidth="1"/>
    <col min="21" max="21" width="10.5703125" customWidth="1"/>
    <col min="203" max="203" width="11.5703125" customWidth="1"/>
    <col min="205" max="205" width="12.42578125" customWidth="1"/>
    <col min="206" max="206" width="12" customWidth="1"/>
    <col min="207" max="207" width="28.85546875" customWidth="1"/>
    <col min="209" max="210" width="0" hidden="1" customWidth="1"/>
    <col min="211" max="211" width="14.5703125" customWidth="1"/>
    <col min="212" max="213" width="0" hidden="1" customWidth="1"/>
    <col min="215" max="216" width="0" hidden="1" customWidth="1"/>
    <col min="226" max="226" width="0" hidden="1" customWidth="1"/>
    <col min="459" max="459" width="11.5703125" customWidth="1"/>
    <col min="461" max="461" width="12.42578125" customWidth="1"/>
    <col min="462" max="462" width="12" customWidth="1"/>
    <col min="463" max="463" width="28.85546875" customWidth="1"/>
    <col min="465" max="466" width="0" hidden="1" customWidth="1"/>
    <col min="467" max="467" width="14.5703125" customWidth="1"/>
    <col min="468" max="469" width="0" hidden="1" customWidth="1"/>
    <col min="471" max="472" width="0" hidden="1" customWidth="1"/>
    <col min="482" max="482" width="0" hidden="1" customWidth="1"/>
    <col min="715" max="715" width="11.5703125" customWidth="1"/>
    <col min="717" max="717" width="12.42578125" customWidth="1"/>
    <col min="718" max="718" width="12" customWidth="1"/>
    <col min="719" max="719" width="28.85546875" customWidth="1"/>
    <col min="721" max="722" width="0" hidden="1" customWidth="1"/>
    <col min="723" max="723" width="14.5703125" customWidth="1"/>
    <col min="724" max="725" width="0" hidden="1" customWidth="1"/>
    <col min="727" max="728" width="0" hidden="1" customWidth="1"/>
    <col min="738" max="738" width="0" hidden="1" customWidth="1"/>
    <col min="971" max="971" width="11.5703125" customWidth="1"/>
    <col min="973" max="973" width="12.42578125" customWidth="1"/>
    <col min="974" max="974" width="12" customWidth="1"/>
    <col min="975" max="975" width="28.85546875" customWidth="1"/>
    <col min="977" max="978" width="0" hidden="1" customWidth="1"/>
    <col min="979" max="979" width="14.5703125" customWidth="1"/>
    <col min="980" max="981" width="0" hidden="1" customWidth="1"/>
    <col min="983" max="984" width="0" hidden="1" customWidth="1"/>
    <col min="994" max="994" width="0" hidden="1" customWidth="1"/>
    <col min="1227" max="1227" width="11.5703125" customWidth="1"/>
    <col min="1229" max="1229" width="12.42578125" customWidth="1"/>
    <col min="1230" max="1230" width="12" customWidth="1"/>
    <col min="1231" max="1231" width="28.85546875" customWidth="1"/>
    <col min="1233" max="1234" width="0" hidden="1" customWidth="1"/>
    <col min="1235" max="1235" width="14.5703125" customWidth="1"/>
    <col min="1236" max="1237" width="0" hidden="1" customWidth="1"/>
    <col min="1239" max="1240" width="0" hidden="1" customWidth="1"/>
    <col min="1250" max="1250" width="0" hidden="1" customWidth="1"/>
    <col min="1483" max="1483" width="11.5703125" customWidth="1"/>
    <col min="1485" max="1485" width="12.42578125" customWidth="1"/>
    <col min="1486" max="1486" width="12" customWidth="1"/>
    <col min="1487" max="1487" width="28.85546875" customWidth="1"/>
    <col min="1489" max="1490" width="0" hidden="1" customWidth="1"/>
    <col min="1491" max="1491" width="14.5703125" customWidth="1"/>
    <col min="1492" max="1493" width="0" hidden="1" customWidth="1"/>
    <col min="1495" max="1496" width="0" hidden="1" customWidth="1"/>
    <col min="1506" max="1506" width="0" hidden="1" customWidth="1"/>
    <col min="1739" max="1739" width="11.5703125" customWidth="1"/>
    <col min="1741" max="1741" width="12.42578125" customWidth="1"/>
    <col min="1742" max="1742" width="12" customWidth="1"/>
    <col min="1743" max="1743" width="28.85546875" customWidth="1"/>
    <col min="1745" max="1746" width="0" hidden="1" customWidth="1"/>
    <col min="1747" max="1747" width="14.5703125" customWidth="1"/>
    <col min="1748" max="1749" width="0" hidden="1" customWidth="1"/>
    <col min="1751" max="1752" width="0" hidden="1" customWidth="1"/>
    <col min="1762" max="1762" width="0" hidden="1" customWidth="1"/>
    <col min="1995" max="1995" width="11.5703125" customWidth="1"/>
    <col min="1997" max="1997" width="12.42578125" customWidth="1"/>
    <col min="1998" max="1998" width="12" customWidth="1"/>
    <col min="1999" max="1999" width="28.85546875" customWidth="1"/>
    <col min="2001" max="2002" width="0" hidden="1" customWidth="1"/>
    <col min="2003" max="2003" width="14.5703125" customWidth="1"/>
    <col min="2004" max="2005" width="0" hidden="1" customWidth="1"/>
    <col min="2007" max="2008" width="0" hidden="1" customWidth="1"/>
    <col min="2018" max="2018" width="0" hidden="1" customWidth="1"/>
    <col min="2251" max="2251" width="11.5703125" customWidth="1"/>
    <col min="2253" max="2253" width="12.42578125" customWidth="1"/>
    <col min="2254" max="2254" width="12" customWidth="1"/>
    <col min="2255" max="2255" width="28.85546875" customWidth="1"/>
    <col min="2257" max="2258" width="0" hidden="1" customWidth="1"/>
    <col min="2259" max="2259" width="14.5703125" customWidth="1"/>
    <col min="2260" max="2261" width="0" hidden="1" customWidth="1"/>
    <col min="2263" max="2264" width="0" hidden="1" customWidth="1"/>
    <col min="2274" max="2274" width="0" hidden="1" customWidth="1"/>
    <col min="2507" max="2507" width="11.5703125" customWidth="1"/>
    <col min="2509" max="2509" width="12.42578125" customWidth="1"/>
    <col min="2510" max="2510" width="12" customWidth="1"/>
    <col min="2511" max="2511" width="28.85546875" customWidth="1"/>
    <col min="2513" max="2514" width="0" hidden="1" customWidth="1"/>
    <col min="2515" max="2515" width="14.5703125" customWidth="1"/>
    <col min="2516" max="2517" width="0" hidden="1" customWidth="1"/>
    <col min="2519" max="2520" width="0" hidden="1" customWidth="1"/>
    <col min="2530" max="2530" width="0" hidden="1" customWidth="1"/>
    <col min="2763" max="2763" width="11.5703125" customWidth="1"/>
    <col min="2765" max="2765" width="12.42578125" customWidth="1"/>
    <col min="2766" max="2766" width="12" customWidth="1"/>
    <col min="2767" max="2767" width="28.85546875" customWidth="1"/>
    <col min="2769" max="2770" width="0" hidden="1" customWidth="1"/>
    <col min="2771" max="2771" width="14.5703125" customWidth="1"/>
    <col min="2772" max="2773" width="0" hidden="1" customWidth="1"/>
    <col min="2775" max="2776" width="0" hidden="1" customWidth="1"/>
    <col min="2786" max="2786" width="0" hidden="1" customWidth="1"/>
    <col min="3019" max="3019" width="11.5703125" customWidth="1"/>
    <col min="3021" max="3021" width="12.42578125" customWidth="1"/>
    <col min="3022" max="3022" width="12" customWidth="1"/>
    <col min="3023" max="3023" width="28.85546875" customWidth="1"/>
    <col min="3025" max="3026" width="0" hidden="1" customWidth="1"/>
    <col min="3027" max="3027" width="14.5703125" customWidth="1"/>
    <col min="3028" max="3029" width="0" hidden="1" customWidth="1"/>
    <col min="3031" max="3032" width="0" hidden="1" customWidth="1"/>
    <col min="3042" max="3042" width="0" hidden="1" customWidth="1"/>
    <col min="3275" max="3275" width="11.5703125" customWidth="1"/>
    <col min="3277" max="3277" width="12.42578125" customWidth="1"/>
    <col min="3278" max="3278" width="12" customWidth="1"/>
    <col min="3279" max="3279" width="28.85546875" customWidth="1"/>
    <col min="3281" max="3282" width="0" hidden="1" customWidth="1"/>
    <col min="3283" max="3283" width="14.5703125" customWidth="1"/>
    <col min="3284" max="3285" width="0" hidden="1" customWidth="1"/>
    <col min="3287" max="3288" width="0" hidden="1" customWidth="1"/>
    <col min="3298" max="3298" width="0" hidden="1" customWidth="1"/>
    <col min="3531" max="3531" width="11.5703125" customWidth="1"/>
    <col min="3533" max="3533" width="12.42578125" customWidth="1"/>
    <col min="3534" max="3534" width="12" customWidth="1"/>
    <col min="3535" max="3535" width="28.85546875" customWidth="1"/>
    <col min="3537" max="3538" width="0" hidden="1" customWidth="1"/>
    <col min="3539" max="3539" width="14.5703125" customWidth="1"/>
    <col min="3540" max="3541" width="0" hidden="1" customWidth="1"/>
    <col min="3543" max="3544" width="0" hidden="1" customWidth="1"/>
    <col min="3554" max="3554" width="0" hidden="1" customWidth="1"/>
    <col min="3787" max="3787" width="11.5703125" customWidth="1"/>
    <col min="3789" max="3789" width="12.42578125" customWidth="1"/>
    <col min="3790" max="3790" width="12" customWidth="1"/>
    <col min="3791" max="3791" width="28.85546875" customWidth="1"/>
    <col min="3793" max="3794" width="0" hidden="1" customWidth="1"/>
    <col min="3795" max="3795" width="14.5703125" customWidth="1"/>
    <col min="3796" max="3797" width="0" hidden="1" customWidth="1"/>
    <col min="3799" max="3800" width="0" hidden="1" customWidth="1"/>
    <col min="3810" max="3810" width="0" hidden="1" customWidth="1"/>
    <col min="4043" max="4043" width="11.5703125" customWidth="1"/>
    <col min="4045" max="4045" width="12.42578125" customWidth="1"/>
    <col min="4046" max="4046" width="12" customWidth="1"/>
    <col min="4047" max="4047" width="28.85546875" customWidth="1"/>
    <col min="4049" max="4050" width="0" hidden="1" customWidth="1"/>
    <col min="4051" max="4051" width="14.5703125" customWidth="1"/>
    <col min="4052" max="4053" width="0" hidden="1" customWidth="1"/>
    <col min="4055" max="4056" width="0" hidden="1" customWidth="1"/>
    <col min="4066" max="4066" width="0" hidden="1" customWidth="1"/>
    <col min="4299" max="4299" width="11.5703125" customWidth="1"/>
    <col min="4301" max="4301" width="12.42578125" customWidth="1"/>
    <col min="4302" max="4302" width="12" customWidth="1"/>
    <col min="4303" max="4303" width="28.85546875" customWidth="1"/>
    <col min="4305" max="4306" width="0" hidden="1" customWidth="1"/>
    <col min="4307" max="4307" width="14.5703125" customWidth="1"/>
    <col min="4308" max="4309" width="0" hidden="1" customWidth="1"/>
    <col min="4311" max="4312" width="0" hidden="1" customWidth="1"/>
    <col min="4322" max="4322" width="0" hidden="1" customWidth="1"/>
    <col min="4555" max="4555" width="11.5703125" customWidth="1"/>
    <col min="4557" max="4557" width="12.42578125" customWidth="1"/>
    <col min="4558" max="4558" width="12" customWidth="1"/>
    <col min="4559" max="4559" width="28.85546875" customWidth="1"/>
    <col min="4561" max="4562" width="0" hidden="1" customWidth="1"/>
    <col min="4563" max="4563" width="14.5703125" customWidth="1"/>
    <col min="4564" max="4565" width="0" hidden="1" customWidth="1"/>
    <col min="4567" max="4568" width="0" hidden="1" customWidth="1"/>
    <col min="4578" max="4578" width="0" hidden="1" customWidth="1"/>
    <col min="4811" max="4811" width="11.5703125" customWidth="1"/>
    <col min="4813" max="4813" width="12.42578125" customWidth="1"/>
    <col min="4814" max="4814" width="12" customWidth="1"/>
    <col min="4815" max="4815" width="28.85546875" customWidth="1"/>
    <col min="4817" max="4818" width="0" hidden="1" customWidth="1"/>
    <col min="4819" max="4819" width="14.5703125" customWidth="1"/>
    <col min="4820" max="4821" width="0" hidden="1" customWidth="1"/>
    <col min="4823" max="4824" width="0" hidden="1" customWidth="1"/>
    <col min="4834" max="4834" width="0" hidden="1" customWidth="1"/>
    <col min="5067" max="5067" width="11.5703125" customWidth="1"/>
    <col min="5069" max="5069" width="12.42578125" customWidth="1"/>
    <col min="5070" max="5070" width="12" customWidth="1"/>
    <col min="5071" max="5071" width="28.85546875" customWidth="1"/>
    <col min="5073" max="5074" width="0" hidden="1" customWidth="1"/>
    <col min="5075" max="5075" width="14.5703125" customWidth="1"/>
    <col min="5076" max="5077" width="0" hidden="1" customWidth="1"/>
    <col min="5079" max="5080" width="0" hidden="1" customWidth="1"/>
    <col min="5090" max="5090" width="0" hidden="1" customWidth="1"/>
    <col min="5323" max="5323" width="11.5703125" customWidth="1"/>
    <col min="5325" max="5325" width="12.42578125" customWidth="1"/>
    <col min="5326" max="5326" width="12" customWidth="1"/>
    <col min="5327" max="5327" width="28.85546875" customWidth="1"/>
    <col min="5329" max="5330" width="0" hidden="1" customWidth="1"/>
    <col min="5331" max="5331" width="14.5703125" customWidth="1"/>
    <col min="5332" max="5333" width="0" hidden="1" customWidth="1"/>
    <col min="5335" max="5336" width="0" hidden="1" customWidth="1"/>
    <col min="5346" max="5346" width="0" hidden="1" customWidth="1"/>
    <col min="5579" max="5579" width="11.5703125" customWidth="1"/>
    <col min="5581" max="5581" width="12.42578125" customWidth="1"/>
    <col min="5582" max="5582" width="12" customWidth="1"/>
    <col min="5583" max="5583" width="28.85546875" customWidth="1"/>
    <col min="5585" max="5586" width="0" hidden="1" customWidth="1"/>
    <col min="5587" max="5587" width="14.5703125" customWidth="1"/>
    <col min="5588" max="5589" width="0" hidden="1" customWidth="1"/>
    <col min="5591" max="5592" width="0" hidden="1" customWidth="1"/>
    <col min="5602" max="5602" width="0" hidden="1" customWidth="1"/>
    <col min="5835" max="5835" width="11.5703125" customWidth="1"/>
    <col min="5837" max="5837" width="12.42578125" customWidth="1"/>
    <col min="5838" max="5838" width="12" customWidth="1"/>
    <col min="5839" max="5839" width="28.85546875" customWidth="1"/>
    <col min="5841" max="5842" width="0" hidden="1" customWidth="1"/>
    <col min="5843" max="5843" width="14.5703125" customWidth="1"/>
    <col min="5844" max="5845" width="0" hidden="1" customWidth="1"/>
    <col min="5847" max="5848" width="0" hidden="1" customWidth="1"/>
    <col min="5858" max="5858" width="0" hidden="1" customWidth="1"/>
    <col min="6091" max="6091" width="11.5703125" customWidth="1"/>
    <col min="6093" max="6093" width="12.42578125" customWidth="1"/>
    <col min="6094" max="6094" width="12" customWidth="1"/>
    <col min="6095" max="6095" width="28.85546875" customWidth="1"/>
    <col min="6097" max="6098" width="0" hidden="1" customWidth="1"/>
    <col min="6099" max="6099" width="14.5703125" customWidth="1"/>
    <col min="6100" max="6101" width="0" hidden="1" customWidth="1"/>
    <col min="6103" max="6104" width="0" hidden="1" customWidth="1"/>
    <col min="6114" max="6114" width="0" hidden="1" customWidth="1"/>
    <col min="6347" max="6347" width="11.5703125" customWidth="1"/>
    <col min="6349" max="6349" width="12.42578125" customWidth="1"/>
    <col min="6350" max="6350" width="12" customWidth="1"/>
    <col min="6351" max="6351" width="28.85546875" customWidth="1"/>
    <col min="6353" max="6354" width="0" hidden="1" customWidth="1"/>
    <col min="6355" max="6355" width="14.5703125" customWidth="1"/>
    <col min="6356" max="6357" width="0" hidden="1" customWidth="1"/>
    <col min="6359" max="6360" width="0" hidden="1" customWidth="1"/>
    <col min="6370" max="6370" width="0" hidden="1" customWidth="1"/>
    <col min="6603" max="6603" width="11.5703125" customWidth="1"/>
    <col min="6605" max="6605" width="12.42578125" customWidth="1"/>
    <col min="6606" max="6606" width="12" customWidth="1"/>
    <col min="6607" max="6607" width="28.85546875" customWidth="1"/>
    <col min="6609" max="6610" width="0" hidden="1" customWidth="1"/>
    <col min="6611" max="6611" width="14.5703125" customWidth="1"/>
    <col min="6612" max="6613" width="0" hidden="1" customWidth="1"/>
    <col min="6615" max="6616" width="0" hidden="1" customWidth="1"/>
    <col min="6626" max="6626" width="0" hidden="1" customWidth="1"/>
    <col min="6859" max="6859" width="11.5703125" customWidth="1"/>
    <col min="6861" max="6861" width="12.42578125" customWidth="1"/>
    <col min="6862" max="6862" width="12" customWidth="1"/>
    <col min="6863" max="6863" width="28.85546875" customWidth="1"/>
    <col min="6865" max="6866" width="0" hidden="1" customWidth="1"/>
    <col min="6867" max="6867" width="14.5703125" customWidth="1"/>
    <col min="6868" max="6869" width="0" hidden="1" customWidth="1"/>
    <col min="6871" max="6872" width="0" hidden="1" customWidth="1"/>
    <col min="6882" max="6882" width="0" hidden="1" customWidth="1"/>
    <col min="7115" max="7115" width="11.5703125" customWidth="1"/>
    <col min="7117" max="7117" width="12.42578125" customWidth="1"/>
    <col min="7118" max="7118" width="12" customWidth="1"/>
    <col min="7119" max="7119" width="28.85546875" customWidth="1"/>
    <col min="7121" max="7122" width="0" hidden="1" customWidth="1"/>
    <col min="7123" max="7123" width="14.5703125" customWidth="1"/>
    <col min="7124" max="7125" width="0" hidden="1" customWidth="1"/>
    <col min="7127" max="7128" width="0" hidden="1" customWidth="1"/>
    <col min="7138" max="7138" width="0" hidden="1" customWidth="1"/>
    <col min="7371" max="7371" width="11.5703125" customWidth="1"/>
    <col min="7373" max="7373" width="12.42578125" customWidth="1"/>
    <col min="7374" max="7374" width="12" customWidth="1"/>
    <col min="7375" max="7375" width="28.85546875" customWidth="1"/>
    <col min="7377" max="7378" width="0" hidden="1" customWidth="1"/>
    <col min="7379" max="7379" width="14.5703125" customWidth="1"/>
    <col min="7380" max="7381" width="0" hidden="1" customWidth="1"/>
    <col min="7383" max="7384" width="0" hidden="1" customWidth="1"/>
    <col min="7394" max="7394" width="0" hidden="1" customWidth="1"/>
    <col min="7627" max="7627" width="11.5703125" customWidth="1"/>
    <col min="7629" max="7629" width="12.42578125" customWidth="1"/>
    <col min="7630" max="7630" width="12" customWidth="1"/>
    <col min="7631" max="7631" width="28.85546875" customWidth="1"/>
    <col min="7633" max="7634" width="0" hidden="1" customWidth="1"/>
    <col min="7635" max="7635" width="14.5703125" customWidth="1"/>
    <col min="7636" max="7637" width="0" hidden="1" customWidth="1"/>
    <col min="7639" max="7640" width="0" hidden="1" customWidth="1"/>
    <col min="7650" max="7650" width="0" hidden="1" customWidth="1"/>
    <col min="7883" max="7883" width="11.5703125" customWidth="1"/>
    <col min="7885" max="7885" width="12.42578125" customWidth="1"/>
    <col min="7886" max="7886" width="12" customWidth="1"/>
    <col min="7887" max="7887" width="28.85546875" customWidth="1"/>
    <col min="7889" max="7890" width="0" hidden="1" customWidth="1"/>
    <col min="7891" max="7891" width="14.5703125" customWidth="1"/>
    <col min="7892" max="7893" width="0" hidden="1" customWidth="1"/>
    <col min="7895" max="7896" width="0" hidden="1" customWidth="1"/>
    <col min="7906" max="7906" width="0" hidden="1" customWidth="1"/>
    <col min="8139" max="8139" width="11.5703125" customWidth="1"/>
    <col min="8141" max="8141" width="12.42578125" customWidth="1"/>
    <col min="8142" max="8142" width="12" customWidth="1"/>
    <col min="8143" max="8143" width="28.85546875" customWidth="1"/>
    <col min="8145" max="8146" width="0" hidden="1" customWidth="1"/>
    <col min="8147" max="8147" width="14.5703125" customWidth="1"/>
    <col min="8148" max="8149" width="0" hidden="1" customWidth="1"/>
    <col min="8151" max="8152" width="0" hidden="1" customWidth="1"/>
    <col min="8162" max="8162" width="0" hidden="1" customWidth="1"/>
    <col min="8395" max="8395" width="11.5703125" customWidth="1"/>
    <col min="8397" max="8397" width="12.42578125" customWidth="1"/>
    <col min="8398" max="8398" width="12" customWidth="1"/>
    <col min="8399" max="8399" width="28.85546875" customWidth="1"/>
    <col min="8401" max="8402" width="0" hidden="1" customWidth="1"/>
    <col min="8403" max="8403" width="14.5703125" customWidth="1"/>
    <col min="8404" max="8405" width="0" hidden="1" customWidth="1"/>
    <col min="8407" max="8408" width="0" hidden="1" customWidth="1"/>
    <col min="8418" max="8418" width="0" hidden="1" customWidth="1"/>
    <col min="8651" max="8651" width="11.5703125" customWidth="1"/>
    <col min="8653" max="8653" width="12.42578125" customWidth="1"/>
    <col min="8654" max="8654" width="12" customWidth="1"/>
    <col min="8655" max="8655" width="28.85546875" customWidth="1"/>
    <col min="8657" max="8658" width="0" hidden="1" customWidth="1"/>
    <col min="8659" max="8659" width="14.5703125" customWidth="1"/>
    <col min="8660" max="8661" width="0" hidden="1" customWidth="1"/>
    <col min="8663" max="8664" width="0" hidden="1" customWidth="1"/>
    <col min="8674" max="8674" width="0" hidden="1" customWidth="1"/>
    <col min="8907" max="8907" width="11.5703125" customWidth="1"/>
    <col min="8909" max="8909" width="12.42578125" customWidth="1"/>
    <col min="8910" max="8910" width="12" customWidth="1"/>
    <col min="8911" max="8911" width="28.85546875" customWidth="1"/>
    <col min="8913" max="8914" width="0" hidden="1" customWidth="1"/>
    <col min="8915" max="8915" width="14.5703125" customWidth="1"/>
    <col min="8916" max="8917" width="0" hidden="1" customWidth="1"/>
    <col min="8919" max="8920" width="0" hidden="1" customWidth="1"/>
    <col min="8930" max="8930" width="0" hidden="1" customWidth="1"/>
    <col min="9163" max="9163" width="11.5703125" customWidth="1"/>
    <col min="9165" max="9165" width="12.42578125" customWidth="1"/>
    <col min="9166" max="9166" width="12" customWidth="1"/>
    <col min="9167" max="9167" width="28.85546875" customWidth="1"/>
    <col min="9169" max="9170" width="0" hidden="1" customWidth="1"/>
    <col min="9171" max="9171" width="14.5703125" customWidth="1"/>
    <col min="9172" max="9173" width="0" hidden="1" customWidth="1"/>
    <col min="9175" max="9176" width="0" hidden="1" customWidth="1"/>
    <col min="9186" max="9186" width="0" hidden="1" customWidth="1"/>
    <col min="9419" max="9419" width="11.5703125" customWidth="1"/>
    <col min="9421" max="9421" width="12.42578125" customWidth="1"/>
    <col min="9422" max="9422" width="12" customWidth="1"/>
    <col min="9423" max="9423" width="28.85546875" customWidth="1"/>
    <col min="9425" max="9426" width="0" hidden="1" customWidth="1"/>
    <col min="9427" max="9427" width="14.5703125" customWidth="1"/>
    <col min="9428" max="9429" width="0" hidden="1" customWidth="1"/>
    <col min="9431" max="9432" width="0" hidden="1" customWidth="1"/>
    <col min="9442" max="9442" width="0" hidden="1" customWidth="1"/>
    <col min="9675" max="9675" width="11.5703125" customWidth="1"/>
    <col min="9677" max="9677" width="12.42578125" customWidth="1"/>
    <col min="9678" max="9678" width="12" customWidth="1"/>
    <col min="9679" max="9679" width="28.85546875" customWidth="1"/>
    <col min="9681" max="9682" width="0" hidden="1" customWidth="1"/>
    <col min="9683" max="9683" width="14.5703125" customWidth="1"/>
    <col min="9684" max="9685" width="0" hidden="1" customWidth="1"/>
    <col min="9687" max="9688" width="0" hidden="1" customWidth="1"/>
    <col min="9698" max="9698" width="0" hidden="1" customWidth="1"/>
    <col min="9931" max="9931" width="11.5703125" customWidth="1"/>
    <col min="9933" max="9933" width="12.42578125" customWidth="1"/>
    <col min="9934" max="9934" width="12" customWidth="1"/>
    <col min="9935" max="9935" width="28.85546875" customWidth="1"/>
    <col min="9937" max="9938" width="0" hidden="1" customWidth="1"/>
    <col min="9939" max="9939" width="14.5703125" customWidth="1"/>
    <col min="9940" max="9941" width="0" hidden="1" customWidth="1"/>
    <col min="9943" max="9944" width="0" hidden="1" customWidth="1"/>
    <col min="9954" max="9954" width="0" hidden="1" customWidth="1"/>
    <col min="10187" max="10187" width="11.5703125" customWidth="1"/>
    <col min="10189" max="10189" width="12.42578125" customWidth="1"/>
    <col min="10190" max="10190" width="12" customWidth="1"/>
    <col min="10191" max="10191" width="28.85546875" customWidth="1"/>
    <col min="10193" max="10194" width="0" hidden="1" customWidth="1"/>
    <col min="10195" max="10195" width="14.5703125" customWidth="1"/>
    <col min="10196" max="10197" width="0" hidden="1" customWidth="1"/>
    <col min="10199" max="10200" width="0" hidden="1" customWidth="1"/>
    <col min="10210" max="10210" width="0" hidden="1" customWidth="1"/>
    <col min="10443" max="10443" width="11.5703125" customWidth="1"/>
    <col min="10445" max="10445" width="12.42578125" customWidth="1"/>
    <col min="10446" max="10446" width="12" customWidth="1"/>
    <col min="10447" max="10447" width="28.85546875" customWidth="1"/>
    <col min="10449" max="10450" width="0" hidden="1" customWidth="1"/>
    <col min="10451" max="10451" width="14.5703125" customWidth="1"/>
    <col min="10452" max="10453" width="0" hidden="1" customWidth="1"/>
    <col min="10455" max="10456" width="0" hidden="1" customWidth="1"/>
    <col min="10466" max="10466" width="0" hidden="1" customWidth="1"/>
    <col min="10699" max="10699" width="11.5703125" customWidth="1"/>
    <col min="10701" max="10701" width="12.42578125" customWidth="1"/>
    <col min="10702" max="10702" width="12" customWidth="1"/>
    <col min="10703" max="10703" width="28.85546875" customWidth="1"/>
    <col min="10705" max="10706" width="0" hidden="1" customWidth="1"/>
    <col min="10707" max="10707" width="14.5703125" customWidth="1"/>
    <col min="10708" max="10709" width="0" hidden="1" customWidth="1"/>
    <col min="10711" max="10712" width="0" hidden="1" customWidth="1"/>
    <col min="10722" max="10722" width="0" hidden="1" customWidth="1"/>
    <col min="10955" max="10955" width="11.5703125" customWidth="1"/>
    <col min="10957" max="10957" width="12.42578125" customWidth="1"/>
    <col min="10958" max="10958" width="12" customWidth="1"/>
    <col min="10959" max="10959" width="28.85546875" customWidth="1"/>
    <col min="10961" max="10962" width="0" hidden="1" customWidth="1"/>
    <col min="10963" max="10963" width="14.5703125" customWidth="1"/>
    <col min="10964" max="10965" width="0" hidden="1" customWidth="1"/>
    <col min="10967" max="10968" width="0" hidden="1" customWidth="1"/>
    <col min="10978" max="10978" width="0" hidden="1" customWidth="1"/>
    <col min="11211" max="11211" width="11.5703125" customWidth="1"/>
    <col min="11213" max="11213" width="12.42578125" customWidth="1"/>
    <col min="11214" max="11214" width="12" customWidth="1"/>
    <col min="11215" max="11215" width="28.85546875" customWidth="1"/>
    <col min="11217" max="11218" width="0" hidden="1" customWidth="1"/>
    <col min="11219" max="11219" width="14.5703125" customWidth="1"/>
    <col min="11220" max="11221" width="0" hidden="1" customWidth="1"/>
    <col min="11223" max="11224" width="0" hidden="1" customWidth="1"/>
    <col min="11234" max="11234" width="0" hidden="1" customWidth="1"/>
    <col min="11467" max="11467" width="11.5703125" customWidth="1"/>
    <col min="11469" max="11469" width="12.42578125" customWidth="1"/>
    <col min="11470" max="11470" width="12" customWidth="1"/>
    <col min="11471" max="11471" width="28.85546875" customWidth="1"/>
    <col min="11473" max="11474" width="0" hidden="1" customWidth="1"/>
    <col min="11475" max="11475" width="14.5703125" customWidth="1"/>
    <col min="11476" max="11477" width="0" hidden="1" customWidth="1"/>
    <col min="11479" max="11480" width="0" hidden="1" customWidth="1"/>
    <col min="11490" max="11490" width="0" hidden="1" customWidth="1"/>
    <col min="11723" max="11723" width="11.5703125" customWidth="1"/>
    <col min="11725" max="11725" width="12.42578125" customWidth="1"/>
    <col min="11726" max="11726" width="12" customWidth="1"/>
    <col min="11727" max="11727" width="28.85546875" customWidth="1"/>
    <col min="11729" max="11730" width="0" hidden="1" customWidth="1"/>
    <col min="11731" max="11731" width="14.5703125" customWidth="1"/>
    <col min="11732" max="11733" width="0" hidden="1" customWidth="1"/>
    <col min="11735" max="11736" width="0" hidden="1" customWidth="1"/>
    <col min="11746" max="11746" width="0" hidden="1" customWidth="1"/>
    <col min="11979" max="11979" width="11.5703125" customWidth="1"/>
    <col min="11981" max="11981" width="12.42578125" customWidth="1"/>
    <col min="11982" max="11982" width="12" customWidth="1"/>
    <col min="11983" max="11983" width="28.85546875" customWidth="1"/>
    <col min="11985" max="11986" width="0" hidden="1" customWidth="1"/>
    <col min="11987" max="11987" width="14.5703125" customWidth="1"/>
    <col min="11988" max="11989" width="0" hidden="1" customWidth="1"/>
    <col min="11991" max="11992" width="0" hidden="1" customWidth="1"/>
    <col min="12002" max="12002" width="0" hidden="1" customWidth="1"/>
    <col min="12235" max="12235" width="11.5703125" customWidth="1"/>
    <col min="12237" max="12237" width="12.42578125" customWidth="1"/>
    <col min="12238" max="12238" width="12" customWidth="1"/>
    <col min="12239" max="12239" width="28.85546875" customWidth="1"/>
    <col min="12241" max="12242" width="0" hidden="1" customWidth="1"/>
    <col min="12243" max="12243" width="14.5703125" customWidth="1"/>
    <col min="12244" max="12245" width="0" hidden="1" customWidth="1"/>
    <col min="12247" max="12248" width="0" hidden="1" customWidth="1"/>
    <col min="12258" max="12258" width="0" hidden="1" customWidth="1"/>
    <col min="12491" max="12491" width="11.5703125" customWidth="1"/>
    <col min="12493" max="12493" width="12.42578125" customWidth="1"/>
    <col min="12494" max="12494" width="12" customWidth="1"/>
    <col min="12495" max="12495" width="28.85546875" customWidth="1"/>
    <col min="12497" max="12498" width="0" hidden="1" customWidth="1"/>
    <col min="12499" max="12499" width="14.5703125" customWidth="1"/>
    <col min="12500" max="12501" width="0" hidden="1" customWidth="1"/>
    <col min="12503" max="12504" width="0" hidden="1" customWidth="1"/>
    <col min="12514" max="12514" width="0" hidden="1" customWidth="1"/>
    <col min="12747" max="12747" width="11.5703125" customWidth="1"/>
    <col min="12749" max="12749" width="12.42578125" customWidth="1"/>
    <col min="12750" max="12750" width="12" customWidth="1"/>
    <col min="12751" max="12751" width="28.85546875" customWidth="1"/>
    <col min="12753" max="12754" width="0" hidden="1" customWidth="1"/>
    <col min="12755" max="12755" width="14.5703125" customWidth="1"/>
    <col min="12756" max="12757" width="0" hidden="1" customWidth="1"/>
    <col min="12759" max="12760" width="0" hidden="1" customWidth="1"/>
    <col min="12770" max="12770" width="0" hidden="1" customWidth="1"/>
    <col min="13003" max="13003" width="11.5703125" customWidth="1"/>
    <col min="13005" max="13005" width="12.42578125" customWidth="1"/>
    <col min="13006" max="13006" width="12" customWidth="1"/>
    <col min="13007" max="13007" width="28.85546875" customWidth="1"/>
    <col min="13009" max="13010" width="0" hidden="1" customWidth="1"/>
    <col min="13011" max="13011" width="14.5703125" customWidth="1"/>
    <col min="13012" max="13013" width="0" hidden="1" customWidth="1"/>
    <col min="13015" max="13016" width="0" hidden="1" customWidth="1"/>
    <col min="13026" max="13026" width="0" hidden="1" customWidth="1"/>
    <col min="13259" max="13259" width="11.5703125" customWidth="1"/>
    <col min="13261" max="13261" width="12.42578125" customWidth="1"/>
    <col min="13262" max="13262" width="12" customWidth="1"/>
    <col min="13263" max="13263" width="28.85546875" customWidth="1"/>
    <col min="13265" max="13266" width="0" hidden="1" customWidth="1"/>
    <col min="13267" max="13267" width="14.5703125" customWidth="1"/>
    <col min="13268" max="13269" width="0" hidden="1" customWidth="1"/>
    <col min="13271" max="13272" width="0" hidden="1" customWidth="1"/>
    <col min="13282" max="13282" width="0" hidden="1" customWidth="1"/>
    <col min="13515" max="13515" width="11.5703125" customWidth="1"/>
    <col min="13517" max="13517" width="12.42578125" customWidth="1"/>
    <col min="13518" max="13518" width="12" customWidth="1"/>
    <col min="13519" max="13519" width="28.85546875" customWidth="1"/>
    <col min="13521" max="13522" width="0" hidden="1" customWidth="1"/>
    <col min="13523" max="13523" width="14.5703125" customWidth="1"/>
    <col min="13524" max="13525" width="0" hidden="1" customWidth="1"/>
    <col min="13527" max="13528" width="0" hidden="1" customWidth="1"/>
    <col min="13538" max="13538" width="0" hidden="1" customWidth="1"/>
    <col min="13771" max="13771" width="11.5703125" customWidth="1"/>
    <col min="13773" max="13773" width="12.42578125" customWidth="1"/>
    <col min="13774" max="13774" width="12" customWidth="1"/>
    <col min="13775" max="13775" width="28.85546875" customWidth="1"/>
    <col min="13777" max="13778" width="0" hidden="1" customWidth="1"/>
    <col min="13779" max="13779" width="14.5703125" customWidth="1"/>
    <col min="13780" max="13781" width="0" hidden="1" customWidth="1"/>
    <col min="13783" max="13784" width="0" hidden="1" customWidth="1"/>
    <col min="13794" max="13794" width="0" hidden="1" customWidth="1"/>
    <col min="14027" max="14027" width="11.5703125" customWidth="1"/>
    <col min="14029" max="14029" width="12.42578125" customWidth="1"/>
    <col min="14030" max="14030" width="12" customWidth="1"/>
    <col min="14031" max="14031" width="28.85546875" customWidth="1"/>
    <col min="14033" max="14034" width="0" hidden="1" customWidth="1"/>
    <col min="14035" max="14035" width="14.5703125" customWidth="1"/>
    <col min="14036" max="14037" width="0" hidden="1" customWidth="1"/>
    <col min="14039" max="14040" width="0" hidden="1" customWidth="1"/>
    <col min="14050" max="14050" width="0" hidden="1" customWidth="1"/>
    <col min="14283" max="14283" width="11.5703125" customWidth="1"/>
    <col min="14285" max="14285" width="12.42578125" customWidth="1"/>
    <col min="14286" max="14286" width="12" customWidth="1"/>
    <col min="14287" max="14287" width="28.85546875" customWidth="1"/>
    <col min="14289" max="14290" width="0" hidden="1" customWidth="1"/>
    <col min="14291" max="14291" width="14.5703125" customWidth="1"/>
    <col min="14292" max="14293" width="0" hidden="1" customWidth="1"/>
    <col min="14295" max="14296" width="0" hidden="1" customWidth="1"/>
    <col min="14306" max="14306" width="0" hidden="1" customWidth="1"/>
    <col min="14539" max="14539" width="11.5703125" customWidth="1"/>
    <col min="14541" max="14541" width="12.42578125" customWidth="1"/>
    <col min="14542" max="14542" width="12" customWidth="1"/>
    <col min="14543" max="14543" width="28.85546875" customWidth="1"/>
    <col min="14545" max="14546" width="0" hidden="1" customWidth="1"/>
    <col min="14547" max="14547" width="14.5703125" customWidth="1"/>
    <col min="14548" max="14549" width="0" hidden="1" customWidth="1"/>
    <col min="14551" max="14552" width="0" hidden="1" customWidth="1"/>
    <col min="14562" max="14562" width="0" hidden="1" customWidth="1"/>
    <col min="14795" max="14795" width="11.5703125" customWidth="1"/>
    <col min="14797" max="14797" width="12.42578125" customWidth="1"/>
    <col min="14798" max="14798" width="12" customWidth="1"/>
    <col min="14799" max="14799" width="28.85546875" customWidth="1"/>
    <col min="14801" max="14802" width="0" hidden="1" customWidth="1"/>
    <col min="14803" max="14803" width="14.5703125" customWidth="1"/>
    <col min="14804" max="14805" width="0" hidden="1" customWidth="1"/>
    <col min="14807" max="14808" width="0" hidden="1" customWidth="1"/>
    <col min="14818" max="14818" width="0" hidden="1" customWidth="1"/>
    <col min="15051" max="15051" width="11.5703125" customWidth="1"/>
    <col min="15053" max="15053" width="12.42578125" customWidth="1"/>
    <col min="15054" max="15054" width="12" customWidth="1"/>
    <col min="15055" max="15055" width="28.85546875" customWidth="1"/>
    <col min="15057" max="15058" width="0" hidden="1" customWidth="1"/>
    <col min="15059" max="15059" width="14.5703125" customWidth="1"/>
    <col min="15060" max="15061" width="0" hidden="1" customWidth="1"/>
    <col min="15063" max="15064" width="0" hidden="1" customWidth="1"/>
    <col min="15074" max="15074" width="0" hidden="1" customWidth="1"/>
    <col min="15307" max="15307" width="11.5703125" customWidth="1"/>
    <col min="15309" max="15309" width="12.42578125" customWidth="1"/>
    <col min="15310" max="15310" width="12" customWidth="1"/>
    <col min="15311" max="15311" width="28.85546875" customWidth="1"/>
    <col min="15313" max="15314" width="0" hidden="1" customWidth="1"/>
    <col min="15315" max="15315" width="14.5703125" customWidth="1"/>
    <col min="15316" max="15317" width="0" hidden="1" customWidth="1"/>
    <col min="15319" max="15320" width="0" hidden="1" customWidth="1"/>
    <col min="15330" max="15330" width="0" hidden="1" customWidth="1"/>
    <col min="15563" max="15563" width="11.5703125" customWidth="1"/>
    <col min="15565" max="15565" width="12.42578125" customWidth="1"/>
    <col min="15566" max="15566" width="12" customWidth="1"/>
    <col min="15567" max="15567" width="28.85546875" customWidth="1"/>
    <col min="15569" max="15570" width="0" hidden="1" customWidth="1"/>
    <col min="15571" max="15571" width="14.5703125" customWidth="1"/>
    <col min="15572" max="15573" width="0" hidden="1" customWidth="1"/>
    <col min="15575" max="15576" width="0" hidden="1" customWidth="1"/>
    <col min="15586" max="15586" width="0" hidden="1" customWidth="1"/>
    <col min="15819" max="15819" width="11.5703125" customWidth="1"/>
    <col min="15821" max="15821" width="12.42578125" customWidth="1"/>
    <col min="15822" max="15822" width="12" customWidth="1"/>
    <col min="15823" max="15823" width="28.85546875" customWidth="1"/>
    <col min="15825" max="15826" width="0" hidden="1" customWidth="1"/>
    <col min="15827" max="15827" width="14.5703125" customWidth="1"/>
    <col min="15828" max="15829" width="0" hidden="1" customWidth="1"/>
    <col min="15831" max="15832" width="0" hidden="1" customWidth="1"/>
    <col min="15842" max="15842" width="0" hidden="1" customWidth="1"/>
    <col min="16075" max="16075" width="11.5703125" customWidth="1"/>
    <col min="16077" max="16077" width="12.42578125" customWidth="1"/>
    <col min="16078" max="16078" width="12" customWidth="1"/>
    <col min="16079" max="16079" width="28.85546875" customWidth="1"/>
    <col min="16081" max="16082" width="0" hidden="1" customWidth="1"/>
    <col min="16083" max="16083" width="14.5703125" customWidth="1"/>
    <col min="16084" max="16085" width="0" hidden="1" customWidth="1"/>
    <col min="16087" max="16088" width="0" hidden="1" customWidth="1"/>
    <col min="16098" max="16098" width="0" hidden="1" customWidth="1"/>
  </cols>
  <sheetData>
    <row r="1" spans="1:23">
      <c r="F1" s="2"/>
    </row>
    <row r="2" spans="1:23" ht="51" customHeight="1">
      <c r="A2" s="470"/>
      <c r="B2" s="470"/>
      <c r="C2" s="471" t="s">
        <v>18</v>
      </c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</row>
    <row r="3" spans="1:23" ht="51" customHeight="1">
      <c r="A3" s="470"/>
      <c r="B3" s="470"/>
      <c r="C3" s="472" t="s">
        <v>106</v>
      </c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</row>
    <row r="4" spans="1:23" ht="15.75" thickBot="1">
      <c r="A4" s="1"/>
      <c r="B4" s="1"/>
      <c r="F4" s="2"/>
      <c r="M4" s="1"/>
    </row>
    <row r="5" spans="1:23" s="4" customFormat="1" ht="24.95" customHeight="1">
      <c r="A5" s="473" t="s">
        <v>16</v>
      </c>
      <c r="B5" s="474"/>
      <c r="C5" s="475">
        <v>149496632.41</v>
      </c>
      <c r="D5" s="475"/>
      <c r="E5" s="476"/>
      <c r="F5" s="6"/>
      <c r="G5" s="285"/>
      <c r="L5" s="132">
        <f>L7-L6</f>
        <v>0</v>
      </c>
      <c r="M5" s="7"/>
      <c r="N5" s="3"/>
      <c r="O5" s="3"/>
      <c r="T5" s="5"/>
    </row>
    <row r="6" spans="1:23" s="4" customFormat="1" ht="34.5" customHeight="1">
      <c r="A6" s="468" t="s">
        <v>17</v>
      </c>
      <c r="B6" s="469"/>
      <c r="C6" s="458">
        <f>G56</f>
        <v>149072410.63</v>
      </c>
      <c r="D6" s="458"/>
      <c r="E6" s="459"/>
      <c r="F6" s="6"/>
      <c r="G6" s="285"/>
      <c r="J6" s="133"/>
      <c r="L6" s="134"/>
      <c r="M6" s="7"/>
      <c r="N6" s="3"/>
      <c r="O6" s="3"/>
      <c r="T6" s="5"/>
    </row>
    <row r="7" spans="1:23" s="4" customFormat="1" ht="24.95" customHeight="1">
      <c r="A7" s="456" t="s">
        <v>0</v>
      </c>
      <c r="B7" s="457"/>
      <c r="C7" s="458">
        <f>I56</f>
        <v>149072410.63</v>
      </c>
      <c r="D7" s="458"/>
      <c r="E7" s="459"/>
      <c r="F7" s="6"/>
      <c r="G7" s="285"/>
      <c r="L7" s="135"/>
      <c r="M7" s="7"/>
      <c r="N7" s="3"/>
      <c r="O7" s="3"/>
      <c r="T7" s="5"/>
    </row>
    <row r="8" spans="1:23" s="4" customFormat="1" ht="24.95" customHeight="1" thickBot="1">
      <c r="A8" s="460" t="s">
        <v>1</v>
      </c>
      <c r="B8" s="461"/>
      <c r="C8" s="462">
        <f>C5-C6</f>
        <v>424221.78000000119</v>
      </c>
      <c r="D8" s="462"/>
      <c r="E8" s="463"/>
      <c r="F8" s="14"/>
      <c r="G8" s="285"/>
      <c r="H8" s="6"/>
      <c r="I8" s="6"/>
      <c r="M8" s="7"/>
      <c r="N8" s="3"/>
      <c r="O8" s="3"/>
      <c r="T8" s="5"/>
    </row>
    <row r="9" spans="1:23" s="66" customFormat="1" ht="25.5" customHeight="1" thickTop="1" thickBot="1">
      <c r="A9" s="59"/>
      <c r="B9" s="59"/>
      <c r="C9" s="59"/>
      <c r="D9" s="59"/>
      <c r="E9" s="60"/>
      <c r="F9" s="59"/>
      <c r="G9" s="464" t="s">
        <v>2</v>
      </c>
      <c r="H9" s="465"/>
      <c r="I9" s="466" t="s">
        <v>3</v>
      </c>
      <c r="J9" s="465"/>
      <c r="K9" s="477" t="s">
        <v>4</v>
      </c>
      <c r="L9" s="478"/>
      <c r="M9" s="61"/>
      <c r="N9" s="62"/>
      <c r="O9" s="62"/>
      <c r="P9" s="63"/>
      <c r="Q9" s="63"/>
      <c r="R9" s="63"/>
      <c r="S9" s="64"/>
      <c r="T9" s="467" t="s">
        <v>599</v>
      </c>
      <c r="U9" s="467"/>
      <c r="V9" s="62"/>
    </row>
    <row r="10" spans="1:23" s="16" customFormat="1" ht="63.75" customHeight="1" thickBot="1">
      <c r="A10" s="324" t="s">
        <v>5</v>
      </c>
      <c r="B10" s="325" t="s">
        <v>6</v>
      </c>
      <c r="C10" s="325" t="s">
        <v>7</v>
      </c>
      <c r="D10" s="325" t="s">
        <v>86</v>
      </c>
      <c r="E10" s="326" t="s">
        <v>87</v>
      </c>
      <c r="F10" s="325" t="s">
        <v>8</v>
      </c>
      <c r="G10" s="327" t="s">
        <v>9</v>
      </c>
      <c r="H10" s="327" t="s">
        <v>107</v>
      </c>
      <c r="I10" s="328" t="s">
        <v>9</v>
      </c>
      <c r="J10" s="328" t="s">
        <v>107</v>
      </c>
      <c r="K10" s="328" t="s">
        <v>9</v>
      </c>
      <c r="L10" s="329" t="s">
        <v>107</v>
      </c>
      <c r="M10" s="325" t="s">
        <v>10</v>
      </c>
      <c r="N10" s="325" t="s">
        <v>89</v>
      </c>
      <c r="O10" s="325" t="s">
        <v>90</v>
      </c>
      <c r="P10" s="454" t="s">
        <v>11</v>
      </c>
      <c r="Q10" s="455"/>
      <c r="R10" s="393" t="s">
        <v>12</v>
      </c>
      <c r="S10" s="325" t="s">
        <v>91</v>
      </c>
      <c r="T10" s="325" t="s">
        <v>13</v>
      </c>
      <c r="U10" s="330" t="s">
        <v>14</v>
      </c>
      <c r="V10" s="74"/>
    </row>
    <row r="11" spans="1:23" s="66" customFormat="1" ht="89.25" customHeight="1">
      <c r="A11" s="265" t="s">
        <v>19</v>
      </c>
      <c r="B11" s="266">
        <v>44536</v>
      </c>
      <c r="C11" s="267" t="s">
        <v>580</v>
      </c>
      <c r="D11" s="268" t="s">
        <v>93</v>
      </c>
      <c r="E11" s="320" t="s">
        <v>108</v>
      </c>
      <c r="F11" s="269" t="s">
        <v>109</v>
      </c>
      <c r="G11" s="270">
        <f t="shared" ref="G11:G23" si="0">H11</f>
        <v>1573357.0299999998</v>
      </c>
      <c r="H11" s="271">
        <f>J11</f>
        <v>1573357.0299999998</v>
      </c>
      <c r="I11" s="270">
        <f t="shared" ref="I11:I54" si="1">J11</f>
        <v>1573357.0299999998</v>
      </c>
      <c r="J11" s="321">
        <f>550995.83+182365.43+96959.85+91358.61+186643.12+107731.4+145875.42+99375.11+112052.26</f>
        <v>1573357.0299999998</v>
      </c>
      <c r="K11" s="270">
        <f t="shared" ref="K11:K54" si="2">L11</f>
        <v>0</v>
      </c>
      <c r="L11" s="272">
        <f t="shared" ref="L11:L23" si="3">H11-J11</f>
        <v>0</v>
      </c>
      <c r="M11" s="273" t="s">
        <v>110</v>
      </c>
      <c r="N11" s="274">
        <f t="shared" ref="N11:N54" si="4">I11/G11</f>
        <v>1</v>
      </c>
      <c r="O11" s="275">
        <v>1</v>
      </c>
      <c r="P11" s="275" t="s">
        <v>58</v>
      </c>
      <c r="Q11" s="276">
        <v>1</v>
      </c>
      <c r="R11" s="277">
        <v>877190</v>
      </c>
      <c r="S11" s="322" t="s">
        <v>196</v>
      </c>
      <c r="T11" s="322" t="s">
        <v>196</v>
      </c>
      <c r="U11" s="323" t="s">
        <v>196</v>
      </c>
      <c r="V11" s="82"/>
      <c r="W11" s="82"/>
    </row>
    <row r="12" spans="1:23" s="66" customFormat="1" ht="93" customHeight="1">
      <c r="A12" s="83" t="s">
        <v>19</v>
      </c>
      <c r="B12" s="8">
        <v>44545</v>
      </c>
      <c r="C12" s="15" t="s">
        <v>581</v>
      </c>
      <c r="D12" s="9" t="s">
        <v>93</v>
      </c>
      <c r="E12" s="10" t="s">
        <v>111</v>
      </c>
      <c r="F12" s="136" t="s">
        <v>112</v>
      </c>
      <c r="G12" s="11">
        <f t="shared" si="0"/>
        <v>2344215.27</v>
      </c>
      <c r="H12" s="137">
        <f>J12</f>
        <v>2344215.27</v>
      </c>
      <c r="I12" s="11">
        <f t="shared" si="1"/>
        <v>2344215.27</v>
      </c>
      <c r="J12" s="262">
        <f>605893.19+161569.77+137006.3+179164.54+159113.83+192682.23+377459.81+142860.46+388465.14</f>
        <v>2344215.27</v>
      </c>
      <c r="K12" s="11">
        <f t="shared" si="2"/>
        <v>0</v>
      </c>
      <c r="L12" s="88">
        <f t="shared" si="3"/>
        <v>0</v>
      </c>
      <c r="M12" s="12" t="s">
        <v>110</v>
      </c>
      <c r="N12" s="91">
        <f t="shared" si="4"/>
        <v>1</v>
      </c>
      <c r="O12" s="91">
        <v>1</v>
      </c>
      <c r="P12" s="92" t="s">
        <v>58</v>
      </c>
      <c r="Q12" s="13">
        <v>1</v>
      </c>
      <c r="R12" s="93">
        <v>877190</v>
      </c>
      <c r="S12" s="303" t="s">
        <v>196</v>
      </c>
      <c r="T12" s="303" t="s">
        <v>196</v>
      </c>
      <c r="U12" s="304" t="s">
        <v>196</v>
      </c>
      <c r="V12" s="82"/>
      <c r="W12" s="82"/>
    </row>
    <row r="13" spans="1:23" s="66" customFormat="1" ht="75.75" customHeight="1">
      <c r="A13" s="83" t="s">
        <v>19</v>
      </c>
      <c r="B13" s="8">
        <v>44196</v>
      </c>
      <c r="C13" s="15" t="s">
        <v>470</v>
      </c>
      <c r="D13" s="9" t="s">
        <v>93</v>
      </c>
      <c r="E13" s="10" t="s">
        <v>113</v>
      </c>
      <c r="F13" s="136" t="s">
        <v>114</v>
      </c>
      <c r="G13" s="11">
        <f t="shared" si="0"/>
        <v>1969208.34</v>
      </c>
      <c r="H13" s="137">
        <v>1969208.34</v>
      </c>
      <c r="I13" s="11">
        <f t="shared" si="1"/>
        <v>1969208.34</v>
      </c>
      <c r="J13" s="262">
        <f>1969208.34</f>
        <v>1969208.34</v>
      </c>
      <c r="K13" s="11">
        <f t="shared" si="2"/>
        <v>0</v>
      </c>
      <c r="L13" s="88">
        <f t="shared" si="3"/>
        <v>0</v>
      </c>
      <c r="M13" s="12" t="s">
        <v>110</v>
      </c>
      <c r="N13" s="91">
        <f t="shared" si="4"/>
        <v>1</v>
      </c>
      <c r="O13" s="91">
        <v>1</v>
      </c>
      <c r="P13" s="92" t="s">
        <v>58</v>
      </c>
      <c r="Q13" s="13">
        <v>1</v>
      </c>
      <c r="R13" s="93">
        <v>877190</v>
      </c>
      <c r="S13" s="303" t="s">
        <v>98</v>
      </c>
      <c r="T13" s="303" t="s">
        <v>98</v>
      </c>
      <c r="U13" s="304" t="s">
        <v>99</v>
      </c>
      <c r="V13" s="82"/>
      <c r="W13" s="82"/>
    </row>
    <row r="14" spans="1:23" s="66" customFormat="1" ht="89.25" customHeight="1">
      <c r="A14" s="83" t="s">
        <v>19</v>
      </c>
      <c r="B14" s="8">
        <v>44518</v>
      </c>
      <c r="C14" s="15" t="s">
        <v>582</v>
      </c>
      <c r="D14" s="9" t="s">
        <v>93</v>
      </c>
      <c r="E14" s="10" t="s">
        <v>115</v>
      </c>
      <c r="F14" s="136" t="s">
        <v>116</v>
      </c>
      <c r="G14" s="11">
        <f t="shared" si="0"/>
        <v>2933914.81</v>
      </c>
      <c r="H14" s="137">
        <f>J14</f>
        <v>2933914.81</v>
      </c>
      <c r="I14" s="11">
        <f t="shared" si="1"/>
        <v>2933914.81</v>
      </c>
      <c r="J14" s="262">
        <f>832876.9+204152.93+200748.63+247248.93+209945.61+225676.25+327012.85+187698.85+498553.86</f>
        <v>2933914.81</v>
      </c>
      <c r="K14" s="11">
        <f t="shared" si="2"/>
        <v>0</v>
      </c>
      <c r="L14" s="88">
        <f t="shared" si="3"/>
        <v>0</v>
      </c>
      <c r="M14" s="12" t="s">
        <v>110</v>
      </c>
      <c r="N14" s="91">
        <f t="shared" si="4"/>
        <v>1</v>
      </c>
      <c r="O14" s="91">
        <v>1</v>
      </c>
      <c r="P14" s="92" t="s">
        <v>58</v>
      </c>
      <c r="Q14" s="13">
        <v>1</v>
      </c>
      <c r="R14" s="93">
        <v>877190</v>
      </c>
      <c r="S14" s="303" t="s">
        <v>196</v>
      </c>
      <c r="T14" s="303" t="s">
        <v>196</v>
      </c>
      <c r="U14" s="304" t="s">
        <v>196</v>
      </c>
      <c r="V14" s="82"/>
      <c r="W14" s="82"/>
    </row>
    <row r="15" spans="1:23" s="66" customFormat="1" ht="89.25" customHeight="1">
      <c r="A15" s="83" t="s">
        <v>19</v>
      </c>
      <c r="B15" s="8">
        <v>44196</v>
      </c>
      <c r="C15" s="15" t="s">
        <v>471</v>
      </c>
      <c r="D15" s="9" t="s">
        <v>93</v>
      </c>
      <c r="E15" s="10" t="s">
        <v>117</v>
      </c>
      <c r="F15" s="136" t="s">
        <v>118</v>
      </c>
      <c r="G15" s="11">
        <f t="shared" si="0"/>
        <v>153468</v>
      </c>
      <c r="H15" s="137">
        <v>153468</v>
      </c>
      <c r="I15" s="11">
        <f t="shared" si="1"/>
        <v>153468</v>
      </c>
      <c r="J15" s="262">
        <v>153468</v>
      </c>
      <c r="K15" s="11">
        <f t="shared" si="2"/>
        <v>0</v>
      </c>
      <c r="L15" s="88">
        <f t="shared" si="3"/>
        <v>0</v>
      </c>
      <c r="M15" s="12" t="s">
        <v>110</v>
      </c>
      <c r="N15" s="91">
        <f t="shared" si="4"/>
        <v>1</v>
      </c>
      <c r="O15" s="91">
        <v>1</v>
      </c>
      <c r="P15" s="92" t="s">
        <v>58</v>
      </c>
      <c r="Q15" s="13">
        <v>1</v>
      </c>
      <c r="R15" s="93">
        <v>877190</v>
      </c>
      <c r="S15" s="303" t="s">
        <v>98</v>
      </c>
      <c r="T15" s="303" t="s">
        <v>98</v>
      </c>
      <c r="U15" s="304" t="s">
        <v>99</v>
      </c>
      <c r="V15" s="82"/>
      <c r="W15" s="82"/>
    </row>
    <row r="16" spans="1:23" s="66" customFormat="1" ht="89.25" customHeight="1">
      <c r="A16" s="83" t="s">
        <v>19</v>
      </c>
      <c r="B16" s="8">
        <v>44518</v>
      </c>
      <c r="C16" s="15" t="s">
        <v>583</v>
      </c>
      <c r="D16" s="9" t="s">
        <v>119</v>
      </c>
      <c r="E16" s="10" t="s">
        <v>120</v>
      </c>
      <c r="F16" s="136" t="s">
        <v>396</v>
      </c>
      <c r="G16" s="11">
        <f t="shared" si="0"/>
        <v>1100611.1599999999</v>
      </c>
      <c r="H16" s="137">
        <f>J16</f>
        <v>1100611.1599999999</v>
      </c>
      <c r="I16" s="11">
        <f t="shared" si="1"/>
        <v>1100611.1599999999</v>
      </c>
      <c r="J16" s="262">
        <f>129414.32+73115.45+26756.32+34421.78+128519.32+137579.9+316862.26+26735.28+227206.53</f>
        <v>1100611.1599999999</v>
      </c>
      <c r="K16" s="11">
        <f t="shared" si="2"/>
        <v>0</v>
      </c>
      <c r="L16" s="88">
        <f t="shared" si="3"/>
        <v>0</v>
      </c>
      <c r="M16" s="12" t="s">
        <v>110</v>
      </c>
      <c r="N16" s="91">
        <f t="shared" si="4"/>
        <v>1</v>
      </c>
      <c r="O16" s="91">
        <v>1</v>
      </c>
      <c r="P16" s="92" t="s">
        <v>58</v>
      </c>
      <c r="Q16" s="13">
        <v>1</v>
      </c>
      <c r="R16" s="93">
        <v>877190</v>
      </c>
      <c r="S16" s="303" t="s">
        <v>196</v>
      </c>
      <c r="T16" s="303" t="s">
        <v>196</v>
      </c>
      <c r="U16" s="304" t="s">
        <v>196</v>
      </c>
      <c r="V16" s="82"/>
      <c r="W16" s="82"/>
    </row>
    <row r="17" spans="1:23" s="66" customFormat="1" ht="89.25" customHeight="1">
      <c r="A17" s="83" t="s">
        <v>19</v>
      </c>
      <c r="B17" s="8">
        <v>44196</v>
      </c>
      <c r="C17" s="15" t="s">
        <v>472</v>
      </c>
      <c r="D17" s="9" t="s">
        <v>93</v>
      </c>
      <c r="E17" s="10" t="s">
        <v>121</v>
      </c>
      <c r="F17" s="136" t="s">
        <v>122</v>
      </c>
      <c r="G17" s="11">
        <f t="shared" si="0"/>
        <v>1429860.08</v>
      </c>
      <c r="H17" s="137">
        <v>1429860.08</v>
      </c>
      <c r="I17" s="11">
        <f t="shared" si="1"/>
        <v>1429860.08</v>
      </c>
      <c r="J17" s="262">
        <f>1429860.08</f>
        <v>1429860.08</v>
      </c>
      <c r="K17" s="11">
        <f t="shared" si="2"/>
        <v>0</v>
      </c>
      <c r="L17" s="88">
        <f t="shared" si="3"/>
        <v>0</v>
      </c>
      <c r="M17" s="12" t="s">
        <v>110</v>
      </c>
      <c r="N17" s="91">
        <f t="shared" si="4"/>
        <v>1</v>
      </c>
      <c r="O17" s="91">
        <v>1</v>
      </c>
      <c r="P17" s="92" t="s">
        <v>58</v>
      </c>
      <c r="Q17" s="13">
        <v>1</v>
      </c>
      <c r="R17" s="93">
        <v>877190</v>
      </c>
      <c r="S17" s="303" t="s">
        <v>98</v>
      </c>
      <c r="T17" s="303" t="s">
        <v>98</v>
      </c>
      <c r="U17" s="304" t="s">
        <v>99</v>
      </c>
      <c r="V17" s="82"/>
      <c r="W17" s="82"/>
    </row>
    <row r="18" spans="1:23" s="66" customFormat="1" ht="126" customHeight="1">
      <c r="A18" s="83" t="s">
        <v>19</v>
      </c>
      <c r="B18" s="8">
        <v>44518</v>
      </c>
      <c r="C18" s="15" t="s">
        <v>584</v>
      </c>
      <c r="D18" s="9" t="s">
        <v>123</v>
      </c>
      <c r="E18" s="10" t="s">
        <v>124</v>
      </c>
      <c r="F18" s="136" t="s">
        <v>125</v>
      </c>
      <c r="G18" s="11">
        <f t="shared" si="0"/>
        <v>7002980.21</v>
      </c>
      <c r="H18" s="137">
        <f>J18</f>
        <v>7002980.21</v>
      </c>
      <c r="I18" s="11">
        <f t="shared" si="1"/>
        <v>7002980.21</v>
      </c>
      <c r="J18" s="262">
        <f>1042835.99+1923723.27+140449.66+306406.37+152533.59+220416.96+222229.44+2323265.82+671119.11</f>
        <v>7002980.21</v>
      </c>
      <c r="K18" s="11">
        <f t="shared" si="2"/>
        <v>0</v>
      </c>
      <c r="L18" s="88">
        <f t="shared" si="3"/>
        <v>0</v>
      </c>
      <c r="M18" s="12" t="s">
        <v>110</v>
      </c>
      <c r="N18" s="91">
        <f t="shared" si="4"/>
        <v>1</v>
      </c>
      <c r="O18" s="91">
        <v>1</v>
      </c>
      <c r="P18" s="92" t="s">
        <v>58</v>
      </c>
      <c r="Q18" s="13">
        <v>1</v>
      </c>
      <c r="R18" s="93">
        <v>877190</v>
      </c>
      <c r="S18" s="303" t="s">
        <v>196</v>
      </c>
      <c r="T18" s="303" t="s">
        <v>196</v>
      </c>
      <c r="U18" s="304" t="s">
        <v>196</v>
      </c>
      <c r="V18" s="82"/>
      <c r="W18" s="82"/>
    </row>
    <row r="19" spans="1:23" s="66" customFormat="1" ht="96.75" customHeight="1">
      <c r="A19" s="83" t="s">
        <v>19</v>
      </c>
      <c r="B19" s="8">
        <v>44196</v>
      </c>
      <c r="C19" s="15" t="s">
        <v>473</v>
      </c>
      <c r="D19" s="9" t="s">
        <v>93</v>
      </c>
      <c r="E19" s="10" t="s">
        <v>126</v>
      </c>
      <c r="F19" s="136" t="s">
        <v>127</v>
      </c>
      <c r="G19" s="11">
        <f t="shared" si="0"/>
        <v>54009.599999999999</v>
      </c>
      <c r="H19" s="137">
        <v>54009.599999999999</v>
      </c>
      <c r="I19" s="11">
        <f t="shared" si="1"/>
        <v>54009.599999999999</v>
      </c>
      <c r="J19" s="262">
        <f>54009.6</f>
        <v>54009.599999999999</v>
      </c>
      <c r="K19" s="11">
        <f t="shared" si="2"/>
        <v>0</v>
      </c>
      <c r="L19" s="88">
        <f t="shared" si="3"/>
        <v>0</v>
      </c>
      <c r="M19" s="12" t="s">
        <v>110</v>
      </c>
      <c r="N19" s="91">
        <f t="shared" si="4"/>
        <v>1</v>
      </c>
      <c r="O19" s="91">
        <v>1</v>
      </c>
      <c r="P19" s="92" t="s">
        <v>58</v>
      </c>
      <c r="Q19" s="13">
        <v>1</v>
      </c>
      <c r="R19" s="93">
        <v>877190</v>
      </c>
      <c r="S19" s="303" t="s">
        <v>98</v>
      </c>
      <c r="T19" s="303" t="s">
        <v>98</v>
      </c>
      <c r="U19" s="304" t="s">
        <v>99</v>
      </c>
      <c r="V19" s="82"/>
      <c r="W19" s="82"/>
    </row>
    <row r="20" spans="1:23" s="66" customFormat="1" ht="96.75" customHeight="1">
      <c r="A20" s="83" t="s">
        <v>19</v>
      </c>
      <c r="B20" s="8">
        <v>44425</v>
      </c>
      <c r="C20" s="15" t="s">
        <v>474</v>
      </c>
      <c r="D20" s="9" t="s">
        <v>93</v>
      </c>
      <c r="E20" s="10" t="s">
        <v>128</v>
      </c>
      <c r="F20" s="136" t="s">
        <v>129</v>
      </c>
      <c r="G20" s="11">
        <f t="shared" si="0"/>
        <v>464731.85</v>
      </c>
      <c r="H20" s="137">
        <v>464731.85</v>
      </c>
      <c r="I20" s="11">
        <f t="shared" si="1"/>
        <v>464731.85000000003</v>
      </c>
      <c r="J20" s="262">
        <f>439705.21+25026.64</f>
        <v>464731.85000000003</v>
      </c>
      <c r="K20" s="11">
        <f t="shared" si="2"/>
        <v>0</v>
      </c>
      <c r="L20" s="88">
        <f t="shared" si="3"/>
        <v>0</v>
      </c>
      <c r="M20" s="12" t="s">
        <v>110</v>
      </c>
      <c r="N20" s="91">
        <f t="shared" si="4"/>
        <v>1.0000000000000002</v>
      </c>
      <c r="O20" s="91">
        <v>1</v>
      </c>
      <c r="P20" s="92" t="s">
        <v>58</v>
      </c>
      <c r="Q20" s="13">
        <v>1</v>
      </c>
      <c r="R20" s="93">
        <v>450</v>
      </c>
      <c r="S20" s="303" t="s">
        <v>397</v>
      </c>
      <c r="T20" s="303" t="s">
        <v>398</v>
      </c>
      <c r="U20" s="304" t="s">
        <v>399</v>
      </c>
      <c r="V20" s="82"/>
      <c r="W20" s="82"/>
    </row>
    <row r="21" spans="1:23" s="66" customFormat="1" ht="147.75" customHeight="1">
      <c r="A21" s="83" t="s">
        <v>19</v>
      </c>
      <c r="B21" s="8">
        <v>44397</v>
      </c>
      <c r="C21" s="15" t="s">
        <v>475</v>
      </c>
      <c r="D21" s="9" t="s">
        <v>93</v>
      </c>
      <c r="E21" s="10" t="s">
        <v>130</v>
      </c>
      <c r="F21" s="136" t="s">
        <v>131</v>
      </c>
      <c r="G21" s="11">
        <f t="shared" si="0"/>
        <v>935095.95</v>
      </c>
      <c r="H21" s="137">
        <v>935095.95</v>
      </c>
      <c r="I21" s="11">
        <f t="shared" si="1"/>
        <v>935095.95000000007</v>
      </c>
      <c r="J21" s="262">
        <f>599457.18+335638.77</f>
        <v>935095.95000000007</v>
      </c>
      <c r="K21" s="11">
        <f t="shared" si="2"/>
        <v>0</v>
      </c>
      <c r="L21" s="88">
        <f t="shared" si="3"/>
        <v>0</v>
      </c>
      <c r="M21" s="12" t="s">
        <v>110</v>
      </c>
      <c r="N21" s="91">
        <f t="shared" si="4"/>
        <v>1.0000000000000002</v>
      </c>
      <c r="O21" s="91">
        <v>1</v>
      </c>
      <c r="P21" s="92" t="s">
        <v>58</v>
      </c>
      <c r="Q21" s="13">
        <v>1</v>
      </c>
      <c r="R21" s="93">
        <v>5000</v>
      </c>
      <c r="S21" s="303" t="s">
        <v>397</v>
      </c>
      <c r="T21" s="303" t="s">
        <v>400</v>
      </c>
      <c r="U21" s="304" t="s">
        <v>401</v>
      </c>
      <c r="V21" s="82"/>
      <c r="W21" s="82"/>
    </row>
    <row r="22" spans="1:23" ht="91.5" customHeight="1">
      <c r="A22" s="83" t="s">
        <v>19</v>
      </c>
      <c r="B22" s="8">
        <v>44536</v>
      </c>
      <c r="C22" s="15" t="s">
        <v>585</v>
      </c>
      <c r="D22" s="9" t="s">
        <v>93</v>
      </c>
      <c r="E22" s="10" t="s">
        <v>132</v>
      </c>
      <c r="F22" s="138" t="s">
        <v>133</v>
      </c>
      <c r="G22" s="11">
        <f t="shared" si="0"/>
        <v>15064031.859999999</v>
      </c>
      <c r="H22" s="137">
        <f>J22</f>
        <v>15064031.859999999</v>
      </c>
      <c r="I22" s="11">
        <f t="shared" si="1"/>
        <v>15064031.859999999</v>
      </c>
      <c r="J22" s="262">
        <f>3671466.18+811271.05+817589.16+1040050.58+964035.78+872050.73+2065818.26+2723269.44+2098480.68</f>
        <v>15064031.859999999</v>
      </c>
      <c r="K22" s="11">
        <f t="shared" si="2"/>
        <v>0</v>
      </c>
      <c r="L22" s="88">
        <f t="shared" si="3"/>
        <v>0</v>
      </c>
      <c r="M22" s="12" t="s">
        <v>110</v>
      </c>
      <c r="N22" s="91">
        <f t="shared" si="4"/>
        <v>1</v>
      </c>
      <c r="O22" s="91">
        <v>1</v>
      </c>
      <c r="P22" s="92" t="s">
        <v>58</v>
      </c>
      <c r="Q22" s="13">
        <v>1</v>
      </c>
      <c r="R22" s="93">
        <v>877190</v>
      </c>
      <c r="S22" s="303" t="s">
        <v>196</v>
      </c>
      <c r="T22" s="303" t="s">
        <v>196</v>
      </c>
      <c r="U22" s="304" t="s">
        <v>196</v>
      </c>
      <c r="V22" s="82"/>
    </row>
    <row r="23" spans="1:23" ht="45" customHeight="1">
      <c r="A23" s="83" t="s">
        <v>19</v>
      </c>
      <c r="B23" s="8">
        <v>44518</v>
      </c>
      <c r="C23" s="15" t="s">
        <v>586</v>
      </c>
      <c r="D23" s="9" t="s">
        <v>93</v>
      </c>
      <c r="E23" s="10" t="s">
        <v>134</v>
      </c>
      <c r="F23" s="138" t="s">
        <v>135</v>
      </c>
      <c r="G23" s="11">
        <f t="shared" si="0"/>
        <v>455168.29999999993</v>
      </c>
      <c r="H23" s="137">
        <f>J23</f>
        <v>455168.29999999993</v>
      </c>
      <c r="I23" s="11">
        <f t="shared" si="1"/>
        <v>455168.29999999993</v>
      </c>
      <c r="J23" s="262">
        <f>130252.64+30442.58+31117+37133.85+28223.36+45379.16+46086.5+30984.98+75548.23</f>
        <v>455168.29999999993</v>
      </c>
      <c r="K23" s="11">
        <f t="shared" si="2"/>
        <v>0</v>
      </c>
      <c r="L23" s="88">
        <f t="shared" si="3"/>
        <v>0</v>
      </c>
      <c r="M23" s="12" t="s">
        <v>110</v>
      </c>
      <c r="N23" s="91">
        <f t="shared" si="4"/>
        <v>1</v>
      </c>
      <c r="O23" s="91">
        <v>1</v>
      </c>
      <c r="P23" s="92" t="s">
        <v>58</v>
      </c>
      <c r="Q23" s="13">
        <v>1</v>
      </c>
      <c r="R23" s="93">
        <v>877190</v>
      </c>
      <c r="S23" s="303" t="s">
        <v>196</v>
      </c>
      <c r="T23" s="303" t="s">
        <v>196</v>
      </c>
      <c r="U23" s="304" t="s">
        <v>196</v>
      </c>
      <c r="V23" s="82"/>
    </row>
    <row r="24" spans="1:23" ht="45" customHeight="1">
      <c r="A24" s="83" t="s">
        <v>19</v>
      </c>
      <c r="B24" s="8">
        <v>44536</v>
      </c>
      <c r="C24" s="15" t="s">
        <v>587</v>
      </c>
      <c r="D24" s="9" t="s">
        <v>123</v>
      </c>
      <c r="E24" s="10" t="s">
        <v>136</v>
      </c>
      <c r="F24" s="138" t="s">
        <v>137</v>
      </c>
      <c r="G24" s="11">
        <f>H24</f>
        <v>55101503.739999995</v>
      </c>
      <c r="H24" s="137">
        <f>J24</f>
        <v>55101503.739999995</v>
      </c>
      <c r="I24" s="11">
        <f t="shared" si="1"/>
        <v>55101503.739999995</v>
      </c>
      <c r="J24" s="262">
        <f>540154.09+3081866.72+24829715.68+664462.41+898351.13+1226608.37+1072878.58+6600559.28+2247054.89+13939852.59</f>
        <v>55101503.739999995</v>
      </c>
      <c r="K24" s="11">
        <f t="shared" si="2"/>
        <v>0</v>
      </c>
      <c r="L24" s="88">
        <f>H24-J24</f>
        <v>0</v>
      </c>
      <c r="M24" s="12" t="s">
        <v>110</v>
      </c>
      <c r="N24" s="91">
        <f t="shared" si="4"/>
        <v>1</v>
      </c>
      <c r="O24" s="91">
        <v>1</v>
      </c>
      <c r="P24" s="92" t="s">
        <v>58</v>
      </c>
      <c r="Q24" s="13">
        <v>1</v>
      </c>
      <c r="R24" s="93">
        <v>877190</v>
      </c>
      <c r="S24" s="303" t="s">
        <v>196</v>
      </c>
      <c r="T24" s="303" t="s">
        <v>196</v>
      </c>
      <c r="U24" s="304" t="s">
        <v>196</v>
      </c>
      <c r="V24" s="82"/>
    </row>
    <row r="25" spans="1:23" ht="94.5" customHeight="1">
      <c r="A25" s="83" t="s">
        <v>19</v>
      </c>
      <c r="B25" s="8">
        <v>44536</v>
      </c>
      <c r="C25" s="15" t="s">
        <v>588</v>
      </c>
      <c r="D25" s="9" t="s">
        <v>93</v>
      </c>
      <c r="E25" s="10" t="s">
        <v>138</v>
      </c>
      <c r="F25" s="138" t="s">
        <v>139</v>
      </c>
      <c r="G25" s="11">
        <f t="shared" ref="G25:G54" si="5">H25</f>
        <v>1351999.3399999999</v>
      </c>
      <c r="H25" s="137">
        <f>J25</f>
        <v>1351999.3399999999</v>
      </c>
      <c r="I25" s="11">
        <f t="shared" si="1"/>
        <v>1351999.3399999999</v>
      </c>
      <c r="J25" s="262">
        <f>67557.47+9969.09+158477.85+160214.88+667593.69+90625.89+72878.69+33664.85+91016.93</f>
        <v>1351999.3399999999</v>
      </c>
      <c r="K25" s="11">
        <f t="shared" si="2"/>
        <v>0</v>
      </c>
      <c r="L25" s="88">
        <f t="shared" ref="L25:L54" si="6">H25-J25</f>
        <v>0</v>
      </c>
      <c r="M25" s="12" t="s">
        <v>110</v>
      </c>
      <c r="N25" s="91">
        <f t="shared" si="4"/>
        <v>1</v>
      </c>
      <c r="O25" s="91">
        <v>1</v>
      </c>
      <c r="P25" s="92" t="s">
        <v>58</v>
      </c>
      <c r="Q25" s="13">
        <v>1</v>
      </c>
      <c r="R25" s="93">
        <v>877190</v>
      </c>
      <c r="S25" s="303" t="s">
        <v>196</v>
      </c>
      <c r="T25" s="303" t="s">
        <v>196</v>
      </c>
      <c r="U25" s="304" t="s">
        <v>196</v>
      </c>
      <c r="V25" s="82"/>
    </row>
    <row r="26" spans="1:23" ht="96" customHeight="1">
      <c r="A26" s="83" t="s">
        <v>19</v>
      </c>
      <c r="B26" s="8">
        <v>44425</v>
      </c>
      <c r="C26" s="15" t="s">
        <v>476</v>
      </c>
      <c r="D26" s="9" t="s">
        <v>140</v>
      </c>
      <c r="E26" s="10" t="s">
        <v>141</v>
      </c>
      <c r="F26" s="138" t="s">
        <v>142</v>
      </c>
      <c r="G26" s="11">
        <f t="shared" si="5"/>
        <v>437860.88</v>
      </c>
      <c r="H26" s="137">
        <v>437860.88</v>
      </c>
      <c r="I26" s="11">
        <f t="shared" si="1"/>
        <v>437860.88</v>
      </c>
      <c r="J26" s="262">
        <f>364400+59127.21+14333.67</f>
        <v>437860.88</v>
      </c>
      <c r="K26" s="11">
        <f t="shared" si="2"/>
        <v>0</v>
      </c>
      <c r="L26" s="88">
        <f t="shared" si="6"/>
        <v>0</v>
      </c>
      <c r="M26" s="12" t="s">
        <v>143</v>
      </c>
      <c r="N26" s="91">
        <f t="shared" si="4"/>
        <v>1</v>
      </c>
      <c r="O26" s="91">
        <v>1</v>
      </c>
      <c r="P26" s="92" t="s">
        <v>58</v>
      </c>
      <c r="Q26" s="13">
        <v>1</v>
      </c>
      <c r="R26" s="93">
        <v>500</v>
      </c>
      <c r="S26" s="303" t="s">
        <v>397</v>
      </c>
      <c r="T26" s="303" t="s">
        <v>402</v>
      </c>
      <c r="U26" s="304" t="s">
        <v>403</v>
      </c>
      <c r="V26" s="82"/>
    </row>
    <row r="27" spans="1:23" ht="55.5" customHeight="1">
      <c r="A27" s="83" t="s">
        <v>19</v>
      </c>
      <c r="B27" s="8">
        <v>44407</v>
      </c>
      <c r="C27" s="15" t="s">
        <v>589</v>
      </c>
      <c r="D27" s="9" t="s">
        <v>93</v>
      </c>
      <c r="E27" s="10" t="s">
        <v>144</v>
      </c>
      <c r="F27" s="138" t="s">
        <v>145</v>
      </c>
      <c r="G27" s="11">
        <f t="shared" si="5"/>
        <v>6498427.9299999997</v>
      </c>
      <c r="H27" s="137">
        <f>J27</f>
        <v>6498427.9299999997</v>
      </c>
      <c r="I27" s="11">
        <f t="shared" si="1"/>
        <v>6498427.9299999997</v>
      </c>
      <c r="J27" s="262">
        <f>507423.2+1967352.8+1299208+169668+1398884+190434+357851.58+300066.37+307539.98</f>
        <v>6498427.9299999997</v>
      </c>
      <c r="K27" s="11">
        <f t="shared" si="2"/>
        <v>0</v>
      </c>
      <c r="L27" s="88">
        <f t="shared" si="6"/>
        <v>0</v>
      </c>
      <c r="M27" s="12" t="s">
        <v>143</v>
      </c>
      <c r="N27" s="91">
        <f t="shared" si="4"/>
        <v>1</v>
      </c>
      <c r="O27" s="91">
        <v>1</v>
      </c>
      <c r="P27" s="92" t="s">
        <v>58</v>
      </c>
      <c r="Q27" s="13">
        <v>1</v>
      </c>
      <c r="R27" s="93">
        <v>877190</v>
      </c>
      <c r="S27" s="303" t="s">
        <v>196</v>
      </c>
      <c r="T27" s="303" t="s">
        <v>196</v>
      </c>
      <c r="U27" s="304" t="s">
        <v>196</v>
      </c>
      <c r="V27" s="82"/>
    </row>
    <row r="28" spans="1:23" ht="83.25" customHeight="1">
      <c r="A28" s="83" t="s">
        <v>19</v>
      </c>
      <c r="B28" s="8">
        <v>44438</v>
      </c>
      <c r="C28" s="15" t="s">
        <v>477</v>
      </c>
      <c r="D28" s="9" t="s">
        <v>93</v>
      </c>
      <c r="E28" s="10" t="s">
        <v>146</v>
      </c>
      <c r="F28" s="138" t="s">
        <v>147</v>
      </c>
      <c r="G28" s="11">
        <f t="shared" si="5"/>
        <v>336060.43</v>
      </c>
      <c r="H28" s="137">
        <v>336060.43</v>
      </c>
      <c r="I28" s="11">
        <f t="shared" si="1"/>
        <v>336060.43</v>
      </c>
      <c r="J28" s="262">
        <f>319917.91+19951.52-3809</f>
        <v>336060.43</v>
      </c>
      <c r="K28" s="11">
        <f t="shared" si="2"/>
        <v>0</v>
      </c>
      <c r="L28" s="88">
        <f t="shared" si="6"/>
        <v>0</v>
      </c>
      <c r="M28" s="12" t="s">
        <v>143</v>
      </c>
      <c r="N28" s="91">
        <f t="shared" si="4"/>
        <v>1</v>
      </c>
      <c r="O28" s="91">
        <v>1</v>
      </c>
      <c r="P28" s="92" t="s">
        <v>58</v>
      </c>
      <c r="Q28" s="13">
        <v>1</v>
      </c>
      <c r="R28" s="93">
        <v>450</v>
      </c>
      <c r="S28" s="303" t="s">
        <v>397</v>
      </c>
      <c r="T28" s="303" t="s">
        <v>404</v>
      </c>
      <c r="U28" s="304" t="s">
        <v>301</v>
      </c>
      <c r="V28" s="82"/>
    </row>
    <row r="29" spans="1:23" ht="105" customHeight="1">
      <c r="A29" s="83" t="s">
        <v>19</v>
      </c>
      <c r="B29" s="8">
        <v>44453</v>
      </c>
      <c r="C29" s="15" t="s">
        <v>478</v>
      </c>
      <c r="D29" s="9" t="s">
        <v>148</v>
      </c>
      <c r="E29" s="10" t="s">
        <v>149</v>
      </c>
      <c r="F29" s="138" t="s">
        <v>150</v>
      </c>
      <c r="G29" s="11">
        <f t="shared" si="5"/>
        <v>2499859.2400000002</v>
      </c>
      <c r="H29" s="137">
        <v>2499859.2400000002</v>
      </c>
      <c r="I29" s="11">
        <f t="shared" si="1"/>
        <v>2499859.2399999998</v>
      </c>
      <c r="J29" s="262">
        <f>1249929.62+379721.66+686546.68+183661.28</f>
        <v>2499859.2399999998</v>
      </c>
      <c r="K29" s="11">
        <f t="shared" si="2"/>
        <v>0</v>
      </c>
      <c r="L29" s="88">
        <f t="shared" si="6"/>
        <v>0</v>
      </c>
      <c r="M29" s="12" t="s">
        <v>143</v>
      </c>
      <c r="N29" s="91">
        <f>I29/G29</f>
        <v>0.99999999999999978</v>
      </c>
      <c r="O29" s="91">
        <v>1</v>
      </c>
      <c r="P29" s="92" t="s">
        <v>58</v>
      </c>
      <c r="Q29" s="13">
        <v>1</v>
      </c>
      <c r="R29" s="93">
        <v>555000</v>
      </c>
      <c r="S29" s="303" t="s">
        <v>197</v>
      </c>
      <c r="T29" s="303" t="s">
        <v>198</v>
      </c>
      <c r="U29" s="304" t="s">
        <v>199</v>
      </c>
      <c r="V29" s="82"/>
    </row>
    <row r="30" spans="1:23" ht="104.25" customHeight="1">
      <c r="A30" s="83" t="s">
        <v>19</v>
      </c>
      <c r="B30" s="8">
        <v>44533</v>
      </c>
      <c r="C30" s="15" t="s">
        <v>590</v>
      </c>
      <c r="D30" s="9" t="s">
        <v>123</v>
      </c>
      <c r="E30" s="10" t="s">
        <v>151</v>
      </c>
      <c r="F30" s="138" t="s">
        <v>152</v>
      </c>
      <c r="G30" s="11">
        <f t="shared" si="5"/>
        <v>6903350.6100000003</v>
      </c>
      <c r="H30" s="137">
        <f>J30</f>
        <v>6903350.6100000003</v>
      </c>
      <c r="I30" s="11">
        <f t="shared" si="1"/>
        <v>6903350.6100000003</v>
      </c>
      <c r="J30" s="262">
        <f>3561501.97+375732.29+913116.69+560725.79+1492273.87</f>
        <v>6903350.6100000003</v>
      </c>
      <c r="K30" s="11">
        <f t="shared" si="2"/>
        <v>0</v>
      </c>
      <c r="L30" s="88">
        <f t="shared" si="6"/>
        <v>0</v>
      </c>
      <c r="M30" s="12" t="s">
        <v>143</v>
      </c>
      <c r="N30" s="91">
        <f t="shared" si="4"/>
        <v>1</v>
      </c>
      <c r="O30" s="91">
        <v>1</v>
      </c>
      <c r="P30" s="92" t="s">
        <v>20</v>
      </c>
      <c r="Q30" s="13">
        <v>2918.32</v>
      </c>
      <c r="R30" s="93">
        <v>1200</v>
      </c>
      <c r="S30" s="303" t="s">
        <v>341</v>
      </c>
      <c r="T30" s="303" t="s">
        <v>342</v>
      </c>
      <c r="U30" s="304" t="s">
        <v>343</v>
      </c>
      <c r="V30" s="82"/>
    </row>
    <row r="31" spans="1:23" ht="142.5" customHeight="1">
      <c r="A31" s="83" t="s">
        <v>19</v>
      </c>
      <c r="B31" s="8">
        <v>44427</v>
      </c>
      <c r="C31" s="15" t="s">
        <v>479</v>
      </c>
      <c r="D31" s="9" t="s">
        <v>123</v>
      </c>
      <c r="E31" s="10" t="s">
        <v>153</v>
      </c>
      <c r="F31" s="138" t="s">
        <v>154</v>
      </c>
      <c r="G31" s="11">
        <f t="shared" si="5"/>
        <v>3656223.93</v>
      </c>
      <c r="H31" s="137">
        <v>3656223.93</v>
      </c>
      <c r="I31" s="11">
        <f t="shared" si="1"/>
        <v>3656223.9299999997</v>
      </c>
      <c r="J31" s="11">
        <f>1828111.97+1151247.66+434242.06+242622.24</f>
        <v>3656223.9299999997</v>
      </c>
      <c r="K31" s="11">
        <f t="shared" si="2"/>
        <v>0</v>
      </c>
      <c r="L31" s="88">
        <f t="shared" si="6"/>
        <v>0</v>
      </c>
      <c r="M31" s="12" t="s">
        <v>143</v>
      </c>
      <c r="N31" s="91">
        <f t="shared" si="4"/>
        <v>0.99999999999999989</v>
      </c>
      <c r="O31" s="91">
        <v>1</v>
      </c>
      <c r="P31" s="92" t="s">
        <v>20</v>
      </c>
      <c r="Q31" s="13">
        <v>2437.17</v>
      </c>
      <c r="R31" s="93">
        <v>1200</v>
      </c>
      <c r="S31" s="303" t="s">
        <v>341</v>
      </c>
      <c r="T31" s="303" t="s">
        <v>344</v>
      </c>
      <c r="U31" s="304" t="s">
        <v>345</v>
      </c>
      <c r="V31" s="82"/>
    </row>
    <row r="32" spans="1:23" ht="77.25" customHeight="1">
      <c r="A32" s="83" t="s">
        <v>19</v>
      </c>
      <c r="B32" s="8">
        <v>44461</v>
      </c>
      <c r="C32" s="15" t="s">
        <v>480</v>
      </c>
      <c r="D32" s="9" t="s">
        <v>93</v>
      </c>
      <c r="E32" s="10" t="s">
        <v>155</v>
      </c>
      <c r="F32" s="138" t="s">
        <v>156</v>
      </c>
      <c r="G32" s="11">
        <f t="shared" si="5"/>
        <v>1672332.65</v>
      </c>
      <c r="H32" s="137">
        <v>1672332.65</v>
      </c>
      <c r="I32" s="11">
        <f t="shared" si="1"/>
        <v>1672332.65</v>
      </c>
      <c r="J32" s="11">
        <f>507333.5+1163899.23+1099.92</f>
        <v>1672332.65</v>
      </c>
      <c r="K32" s="11">
        <f t="shared" si="2"/>
        <v>0</v>
      </c>
      <c r="L32" s="88">
        <f t="shared" si="6"/>
        <v>0</v>
      </c>
      <c r="M32" s="12" t="s">
        <v>143</v>
      </c>
      <c r="N32" s="91">
        <f t="shared" si="4"/>
        <v>1</v>
      </c>
      <c r="O32" s="91">
        <v>1</v>
      </c>
      <c r="P32" s="92" t="s">
        <v>58</v>
      </c>
      <c r="Q32" s="13">
        <v>1</v>
      </c>
      <c r="R32" s="93">
        <v>2000</v>
      </c>
      <c r="S32" s="303" t="s">
        <v>197</v>
      </c>
      <c r="T32" s="303" t="s">
        <v>405</v>
      </c>
      <c r="U32" s="304" t="s">
        <v>406</v>
      </c>
      <c r="V32" s="82"/>
    </row>
    <row r="33" spans="1:22" ht="117.75" customHeight="1">
      <c r="A33" s="83" t="s">
        <v>19</v>
      </c>
      <c r="B33" s="8">
        <v>44491</v>
      </c>
      <c r="C33" s="15" t="s">
        <v>481</v>
      </c>
      <c r="D33" s="9" t="s">
        <v>123</v>
      </c>
      <c r="E33" s="10" t="s">
        <v>157</v>
      </c>
      <c r="F33" s="138" t="s">
        <v>158</v>
      </c>
      <c r="G33" s="11">
        <f t="shared" si="5"/>
        <v>6515062.1799999997</v>
      </c>
      <c r="H33" s="137">
        <v>6515062.1799999997</v>
      </c>
      <c r="I33" s="11">
        <f t="shared" si="1"/>
        <v>6515062.1799999997</v>
      </c>
      <c r="J33" s="11">
        <f>2954998.64+2315071.36+871115.6+373876.58</f>
        <v>6515062.1799999997</v>
      </c>
      <c r="K33" s="11">
        <f t="shared" si="2"/>
        <v>0</v>
      </c>
      <c r="L33" s="88">
        <f t="shared" si="6"/>
        <v>0</v>
      </c>
      <c r="M33" s="12" t="s">
        <v>143</v>
      </c>
      <c r="N33" s="91">
        <f t="shared" si="4"/>
        <v>1</v>
      </c>
      <c r="O33" s="91">
        <v>1</v>
      </c>
      <c r="P33" s="92" t="s">
        <v>20</v>
      </c>
      <c r="Q33" s="13">
        <v>4655.01</v>
      </c>
      <c r="R33" s="93">
        <v>1800</v>
      </c>
      <c r="S33" s="303" t="s">
        <v>397</v>
      </c>
      <c r="T33" s="303" t="s">
        <v>407</v>
      </c>
      <c r="U33" s="304" t="s">
        <v>408</v>
      </c>
      <c r="V33" s="82"/>
    </row>
    <row r="34" spans="1:22" ht="141.75" customHeight="1">
      <c r="A34" s="83" t="s">
        <v>19</v>
      </c>
      <c r="B34" s="8">
        <v>44438</v>
      </c>
      <c r="C34" s="15" t="s">
        <v>482</v>
      </c>
      <c r="D34" s="9" t="s">
        <v>123</v>
      </c>
      <c r="E34" s="10" t="s">
        <v>159</v>
      </c>
      <c r="F34" s="138" t="s">
        <v>160</v>
      </c>
      <c r="G34" s="11">
        <f t="shared" si="5"/>
        <v>1673174.83</v>
      </c>
      <c r="H34" s="137">
        <v>1673174.83</v>
      </c>
      <c r="I34" s="11">
        <f t="shared" si="1"/>
        <v>1673174.83</v>
      </c>
      <c r="J34" s="11">
        <f>1097100.76+391913.28+164666.03+19494.76</f>
        <v>1673174.83</v>
      </c>
      <c r="K34" s="11">
        <f t="shared" si="2"/>
        <v>0</v>
      </c>
      <c r="L34" s="88">
        <f t="shared" si="6"/>
        <v>0</v>
      </c>
      <c r="M34" s="12" t="s">
        <v>143</v>
      </c>
      <c r="N34" s="91">
        <f t="shared" si="4"/>
        <v>1</v>
      </c>
      <c r="O34" s="91">
        <v>1</v>
      </c>
      <c r="P34" s="92" t="s">
        <v>20</v>
      </c>
      <c r="Q34" s="13">
        <v>2388.5300000000002</v>
      </c>
      <c r="R34" s="93">
        <v>1200</v>
      </c>
      <c r="S34" s="303" t="s">
        <v>197</v>
      </c>
      <c r="T34" s="303" t="s">
        <v>302</v>
      </c>
      <c r="U34" s="304" t="s">
        <v>409</v>
      </c>
      <c r="V34" s="82"/>
    </row>
    <row r="35" spans="1:22" ht="87.75" customHeight="1">
      <c r="A35" s="83" t="s">
        <v>19</v>
      </c>
      <c r="B35" s="8">
        <v>44523</v>
      </c>
      <c r="C35" s="15" t="s">
        <v>544</v>
      </c>
      <c r="D35" s="9" t="s">
        <v>93</v>
      </c>
      <c r="E35" s="10" t="s">
        <v>161</v>
      </c>
      <c r="F35" s="138" t="s">
        <v>162</v>
      </c>
      <c r="G35" s="11">
        <f t="shared" si="5"/>
        <v>2593972.21</v>
      </c>
      <c r="H35" s="137">
        <v>2593972.21</v>
      </c>
      <c r="I35" s="11">
        <f t="shared" si="1"/>
        <v>2593972.21</v>
      </c>
      <c r="J35" s="11">
        <f>748381.95+86077.13+669164.51+304073.39+493789.93+292485.3</f>
        <v>2593972.21</v>
      </c>
      <c r="K35" s="11">
        <f t="shared" si="2"/>
        <v>0</v>
      </c>
      <c r="L35" s="88">
        <f t="shared" si="6"/>
        <v>0</v>
      </c>
      <c r="M35" s="12" t="s">
        <v>143</v>
      </c>
      <c r="N35" s="91">
        <f t="shared" si="4"/>
        <v>1</v>
      </c>
      <c r="O35" s="91">
        <v>1</v>
      </c>
      <c r="P35" s="92" t="s">
        <v>58</v>
      </c>
      <c r="Q35" s="13">
        <v>1</v>
      </c>
      <c r="R35" s="93">
        <v>2000</v>
      </c>
      <c r="S35" s="303" t="s">
        <v>346</v>
      </c>
      <c r="T35" s="303" t="s">
        <v>347</v>
      </c>
      <c r="U35" s="304" t="s">
        <v>348</v>
      </c>
      <c r="V35" s="82"/>
    </row>
    <row r="36" spans="1:22" ht="112.5" customHeight="1">
      <c r="A36" s="83" t="s">
        <v>19</v>
      </c>
      <c r="B36" s="8">
        <v>44523</v>
      </c>
      <c r="C36" s="15" t="s">
        <v>545</v>
      </c>
      <c r="D36" s="9" t="s">
        <v>123</v>
      </c>
      <c r="E36" s="10" t="s">
        <v>200</v>
      </c>
      <c r="F36" s="138" t="s">
        <v>201</v>
      </c>
      <c r="G36" s="11">
        <f t="shared" si="5"/>
        <v>5043635.1100000003</v>
      </c>
      <c r="H36" s="137">
        <v>5043635.1100000003</v>
      </c>
      <c r="I36" s="11">
        <f t="shared" si="1"/>
        <v>5043635.1100000003</v>
      </c>
      <c r="J36" s="11">
        <f>2380947.16+577551+949757.86+971778.84+163600.25</f>
        <v>5043635.1100000003</v>
      </c>
      <c r="K36" s="11">
        <f t="shared" si="2"/>
        <v>0</v>
      </c>
      <c r="L36" s="88">
        <f t="shared" si="6"/>
        <v>0</v>
      </c>
      <c r="M36" s="12" t="s">
        <v>143</v>
      </c>
      <c r="N36" s="91">
        <f t="shared" si="4"/>
        <v>1</v>
      </c>
      <c r="O36" s="91">
        <v>1</v>
      </c>
      <c r="P36" s="92" t="s">
        <v>58</v>
      </c>
      <c r="Q36" s="13">
        <v>2384</v>
      </c>
      <c r="R36" s="93">
        <v>750</v>
      </c>
      <c r="S36" s="303" t="s">
        <v>341</v>
      </c>
      <c r="T36" s="303" t="s">
        <v>349</v>
      </c>
      <c r="U36" s="304" t="s">
        <v>350</v>
      </c>
      <c r="V36" s="82"/>
    </row>
    <row r="37" spans="1:22" ht="83.25" customHeight="1">
      <c r="A37" s="83" t="s">
        <v>19</v>
      </c>
      <c r="B37" s="8">
        <v>44462</v>
      </c>
      <c r="C37" s="15" t="s">
        <v>483</v>
      </c>
      <c r="D37" s="9" t="s">
        <v>93</v>
      </c>
      <c r="E37" s="10" t="s">
        <v>202</v>
      </c>
      <c r="F37" s="138" t="s">
        <v>203</v>
      </c>
      <c r="G37" s="11">
        <f t="shared" si="5"/>
        <v>1498618.63</v>
      </c>
      <c r="H37" s="137">
        <v>1498618.63</v>
      </c>
      <c r="I37" s="11">
        <f t="shared" si="1"/>
        <v>1498618.6300000001</v>
      </c>
      <c r="J37" s="11">
        <f>449585.59+1044867.51+4165.53</f>
        <v>1498618.6300000001</v>
      </c>
      <c r="K37" s="11">
        <f t="shared" si="2"/>
        <v>0</v>
      </c>
      <c r="L37" s="88">
        <f t="shared" si="6"/>
        <v>0</v>
      </c>
      <c r="M37" s="12" t="s">
        <v>143</v>
      </c>
      <c r="N37" s="91">
        <f t="shared" si="4"/>
        <v>1.0000000000000002</v>
      </c>
      <c r="O37" s="91">
        <v>1</v>
      </c>
      <c r="P37" s="92" t="s">
        <v>58</v>
      </c>
      <c r="Q37" s="13">
        <v>1</v>
      </c>
      <c r="R37" s="93">
        <v>550000</v>
      </c>
      <c r="S37" s="303" t="s">
        <v>351</v>
      </c>
      <c r="T37" s="303" t="s">
        <v>352</v>
      </c>
      <c r="U37" s="304" t="s">
        <v>353</v>
      </c>
      <c r="V37" s="82"/>
    </row>
    <row r="38" spans="1:22" ht="58.5" customHeight="1">
      <c r="A38" s="83" t="s">
        <v>19</v>
      </c>
      <c r="B38" s="8">
        <v>44341</v>
      </c>
      <c r="C38" s="15" t="s">
        <v>591</v>
      </c>
      <c r="D38" s="9" t="s">
        <v>123</v>
      </c>
      <c r="E38" s="10" t="s">
        <v>204</v>
      </c>
      <c r="F38" s="138" t="s">
        <v>205</v>
      </c>
      <c r="G38" s="11">
        <f t="shared" si="5"/>
        <v>1631903.8</v>
      </c>
      <c r="H38" s="137">
        <f>J38</f>
        <v>1631903.8</v>
      </c>
      <c r="I38" s="11">
        <f t="shared" si="1"/>
        <v>1631903.8</v>
      </c>
      <c r="J38" s="11">
        <f>824120.55+807783.25</f>
        <v>1631903.8</v>
      </c>
      <c r="K38" s="11">
        <f t="shared" si="2"/>
        <v>0</v>
      </c>
      <c r="L38" s="88">
        <f t="shared" si="6"/>
        <v>0</v>
      </c>
      <c r="M38" s="12" t="s">
        <v>143</v>
      </c>
      <c r="N38" s="91">
        <f t="shared" si="4"/>
        <v>1</v>
      </c>
      <c r="O38" s="91">
        <v>1</v>
      </c>
      <c r="P38" s="92" t="s">
        <v>58</v>
      </c>
      <c r="Q38" s="13">
        <v>1</v>
      </c>
      <c r="R38" s="93">
        <v>250000</v>
      </c>
      <c r="S38" s="303" t="s">
        <v>410</v>
      </c>
      <c r="T38" s="303" t="s">
        <v>411</v>
      </c>
      <c r="U38" s="304" t="s">
        <v>412</v>
      </c>
      <c r="V38" s="82"/>
    </row>
    <row r="39" spans="1:22" ht="126" customHeight="1">
      <c r="A39" s="83" t="s">
        <v>19</v>
      </c>
      <c r="B39" s="8">
        <v>44490</v>
      </c>
      <c r="C39" s="15" t="s">
        <v>484</v>
      </c>
      <c r="D39" s="9" t="s">
        <v>123</v>
      </c>
      <c r="E39" s="10" t="s">
        <v>206</v>
      </c>
      <c r="F39" s="138" t="s">
        <v>413</v>
      </c>
      <c r="G39" s="11">
        <f t="shared" si="5"/>
        <v>4680633.59</v>
      </c>
      <c r="H39" s="137">
        <v>4680633.59</v>
      </c>
      <c r="I39" s="11">
        <f t="shared" si="1"/>
        <v>4680633.59</v>
      </c>
      <c r="J39" s="11">
        <f>2401403.66+1557746.73+721483.2</f>
        <v>4680633.59</v>
      </c>
      <c r="K39" s="11">
        <f t="shared" si="2"/>
        <v>0</v>
      </c>
      <c r="L39" s="88">
        <f t="shared" si="6"/>
        <v>0</v>
      </c>
      <c r="M39" s="12" t="s">
        <v>143</v>
      </c>
      <c r="N39" s="91">
        <f t="shared" si="4"/>
        <v>1</v>
      </c>
      <c r="O39" s="91">
        <v>1</v>
      </c>
      <c r="P39" s="92" t="s">
        <v>20</v>
      </c>
      <c r="Q39" s="13">
        <v>5674.1</v>
      </c>
      <c r="R39" s="93">
        <v>1250</v>
      </c>
      <c r="S39" s="303" t="s">
        <v>341</v>
      </c>
      <c r="T39" s="303" t="s">
        <v>414</v>
      </c>
      <c r="U39" s="304" t="s">
        <v>415</v>
      </c>
      <c r="V39" s="82"/>
    </row>
    <row r="40" spans="1:22" ht="96.75" customHeight="1">
      <c r="A40" s="83" t="s">
        <v>19</v>
      </c>
      <c r="B40" s="8">
        <v>44348</v>
      </c>
      <c r="C40" s="15" t="s">
        <v>592</v>
      </c>
      <c r="D40" s="9" t="s">
        <v>93</v>
      </c>
      <c r="E40" s="10" t="s">
        <v>303</v>
      </c>
      <c r="F40" s="138" t="s">
        <v>304</v>
      </c>
      <c r="G40" s="11">
        <f t="shared" si="5"/>
        <v>1219857.44</v>
      </c>
      <c r="H40" s="137">
        <f>J40</f>
        <v>1219857.44</v>
      </c>
      <c r="I40" s="11">
        <f t="shared" si="1"/>
        <v>1219857.44</v>
      </c>
      <c r="J40" s="11">
        <f>365957.23+248540.9+601204.89+4154.42</f>
        <v>1219857.44</v>
      </c>
      <c r="K40" s="11">
        <f t="shared" si="2"/>
        <v>0</v>
      </c>
      <c r="L40" s="88">
        <f t="shared" si="6"/>
        <v>0</v>
      </c>
      <c r="M40" s="12" t="s">
        <v>143</v>
      </c>
      <c r="N40" s="91">
        <f t="shared" si="4"/>
        <v>1</v>
      </c>
      <c r="O40" s="91">
        <v>1</v>
      </c>
      <c r="P40" s="92" t="s">
        <v>58</v>
      </c>
      <c r="Q40" s="13">
        <v>1</v>
      </c>
      <c r="R40" s="93">
        <v>1200</v>
      </c>
      <c r="S40" s="303" t="s">
        <v>410</v>
      </c>
      <c r="T40" s="303" t="s">
        <v>449</v>
      </c>
      <c r="U40" s="304" t="s">
        <v>450</v>
      </c>
      <c r="V40" s="82"/>
    </row>
    <row r="41" spans="1:22" ht="81.75" customHeight="1">
      <c r="A41" s="83" t="s">
        <v>19</v>
      </c>
      <c r="B41" s="8">
        <v>44512</v>
      </c>
      <c r="C41" s="15" t="s">
        <v>546</v>
      </c>
      <c r="D41" s="9" t="s">
        <v>93</v>
      </c>
      <c r="E41" s="10" t="s">
        <v>207</v>
      </c>
      <c r="F41" s="138" t="s">
        <v>208</v>
      </c>
      <c r="G41" s="11">
        <f t="shared" si="5"/>
        <v>1553763.74</v>
      </c>
      <c r="H41" s="137">
        <v>1553763.74</v>
      </c>
      <c r="I41" s="11">
        <f t="shared" si="1"/>
        <v>1553763.74</v>
      </c>
      <c r="J41" s="11">
        <f>466129.12+325992.07+745253.46+16389.09</f>
        <v>1553763.74</v>
      </c>
      <c r="K41" s="11">
        <f t="shared" si="2"/>
        <v>0</v>
      </c>
      <c r="L41" s="88">
        <f t="shared" si="6"/>
        <v>0</v>
      </c>
      <c r="M41" s="12" t="s">
        <v>143</v>
      </c>
      <c r="N41" s="91">
        <f t="shared" si="4"/>
        <v>1</v>
      </c>
      <c r="O41" s="91">
        <v>1</v>
      </c>
      <c r="P41" s="92" t="s">
        <v>58</v>
      </c>
      <c r="Q41" s="13">
        <v>1</v>
      </c>
      <c r="R41" s="93">
        <v>1200</v>
      </c>
      <c r="S41" s="303" t="s">
        <v>410</v>
      </c>
      <c r="T41" s="303" t="s">
        <v>416</v>
      </c>
      <c r="U41" s="304" t="s">
        <v>417</v>
      </c>
      <c r="V41" s="82"/>
    </row>
    <row r="42" spans="1:22" ht="85.5">
      <c r="A42" s="83" t="s">
        <v>19</v>
      </c>
      <c r="B42" s="8">
        <v>44447</v>
      </c>
      <c r="C42" s="15" t="s">
        <v>593</v>
      </c>
      <c r="D42" s="9" t="s">
        <v>93</v>
      </c>
      <c r="E42" s="10" t="s">
        <v>451</v>
      </c>
      <c r="F42" s="138" t="s">
        <v>452</v>
      </c>
      <c r="G42" s="11">
        <f t="shared" si="5"/>
        <v>739908.78</v>
      </c>
      <c r="H42" s="137">
        <f>J42</f>
        <v>739908.78</v>
      </c>
      <c r="I42" s="11">
        <f t="shared" si="1"/>
        <v>739908.78</v>
      </c>
      <c r="J42" s="11">
        <f>369954.39+369954.39</f>
        <v>739908.78</v>
      </c>
      <c r="K42" s="11">
        <f t="shared" si="2"/>
        <v>0</v>
      </c>
      <c r="L42" s="88">
        <f t="shared" si="6"/>
        <v>0</v>
      </c>
      <c r="M42" s="12" t="s">
        <v>143</v>
      </c>
      <c r="N42" s="91">
        <f t="shared" si="4"/>
        <v>1</v>
      </c>
      <c r="O42" s="91">
        <v>1</v>
      </c>
      <c r="P42" s="92" t="s">
        <v>58</v>
      </c>
      <c r="Q42" s="13">
        <v>1</v>
      </c>
      <c r="R42" s="93">
        <v>250</v>
      </c>
      <c r="S42" s="303" t="s">
        <v>397</v>
      </c>
      <c r="T42" s="303" t="s">
        <v>453</v>
      </c>
      <c r="U42" s="304" t="s">
        <v>454</v>
      </c>
      <c r="V42" s="66"/>
    </row>
    <row r="43" spans="1:22" ht="99.75">
      <c r="A43" s="83" t="s">
        <v>19</v>
      </c>
      <c r="B43" s="8">
        <v>44447</v>
      </c>
      <c r="C43" s="15" t="s">
        <v>594</v>
      </c>
      <c r="D43" s="9" t="s">
        <v>93</v>
      </c>
      <c r="E43" s="10" t="s">
        <v>455</v>
      </c>
      <c r="F43" s="138" t="s">
        <v>456</v>
      </c>
      <c r="G43" s="11">
        <f t="shared" si="5"/>
        <v>399703.69</v>
      </c>
      <c r="H43" s="137">
        <f>J43</f>
        <v>399703.69</v>
      </c>
      <c r="I43" s="11">
        <f t="shared" si="1"/>
        <v>399703.69</v>
      </c>
      <c r="J43" s="11">
        <f>199851.84+199851.85</f>
        <v>399703.69</v>
      </c>
      <c r="K43" s="11">
        <f t="shared" si="2"/>
        <v>0</v>
      </c>
      <c r="L43" s="88">
        <f t="shared" si="6"/>
        <v>0</v>
      </c>
      <c r="M43" s="12" t="s">
        <v>143</v>
      </c>
      <c r="N43" s="91">
        <f t="shared" si="4"/>
        <v>1</v>
      </c>
      <c r="O43" s="91">
        <v>1</v>
      </c>
      <c r="P43" s="92" t="s">
        <v>58</v>
      </c>
      <c r="Q43" s="13">
        <v>1</v>
      </c>
      <c r="R43" s="93">
        <v>250</v>
      </c>
      <c r="S43" s="303" t="s">
        <v>397</v>
      </c>
      <c r="T43" s="303" t="s">
        <v>457</v>
      </c>
      <c r="U43" s="304" t="s">
        <v>458</v>
      </c>
    </row>
    <row r="44" spans="1:22" ht="99.75">
      <c r="A44" s="83" t="s">
        <v>19</v>
      </c>
      <c r="B44" s="8">
        <v>44523</v>
      </c>
      <c r="C44" s="15" t="s">
        <v>547</v>
      </c>
      <c r="D44" s="9" t="s">
        <v>93</v>
      </c>
      <c r="E44" s="10" t="s">
        <v>459</v>
      </c>
      <c r="F44" s="138" t="s">
        <v>460</v>
      </c>
      <c r="G44" s="11">
        <f t="shared" si="5"/>
        <v>700336.18</v>
      </c>
      <c r="H44" s="137">
        <v>700336.18</v>
      </c>
      <c r="I44" s="11">
        <f t="shared" si="1"/>
        <v>700336.18</v>
      </c>
      <c r="J44" s="11">
        <f>350168.09+350168.09</f>
        <v>700336.18</v>
      </c>
      <c r="K44" s="11">
        <f t="shared" si="2"/>
        <v>0</v>
      </c>
      <c r="L44" s="88">
        <f t="shared" si="6"/>
        <v>0</v>
      </c>
      <c r="M44" s="12" t="s">
        <v>143</v>
      </c>
      <c r="N44" s="91">
        <f t="shared" si="4"/>
        <v>1</v>
      </c>
      <c r="O44" s="91">
        <v>1</v>
      </c>
      <c r="P44" s="92" t="s">
        <v>58</v>
      </c>
      <c r="Q44" s="13">
        <v>1</v>
      </c>
      <c r="R44" s="93">
        <v>250</v>
      </c>
      <c r="S44" s="303" t="s">
        <v>397</v>
      </c>
      <c r="T44" s="303" t="s">
        <v>457</v>
      </c>
      <c r="U44" s="304" t="s">
        <v>461</v>
      </c>
    </row>
    <row r="45" spans="1:22" ht="57.75">
      <c r="A45" s="83" t="s">
        <v>19</v>
      </c>
      <c r="B45" s="8">
        <v>44533</v>
      </c>
      <c r="C45" s="15" t="s">
        <v>570</v>
      </c>
      <c r="D45" s="9" t="s">
        <v>93</v>
      </c>
      <c r="E45" s="10" t="s">
        <v>462</v>
      </c>
      <c r="F45" s="138" t="s">
        <v>463</v>
      </c>
      <c r="G45" s="11">
        <f t="shared" si="5"/>
        <v>753394.5</v>
      </c>
      <c r="H45" s="137">
        <v>753394.5</v>
      </c>
      <c r="I45" s="11">
        <f t="shared" si="1"/>
        <v>753394.5</v>
      </c>
      <c r="J45" s="11">
        <f>313099.53+342279.97+98015</f>
        <v>753394.5</v>
      </c>
      <c r="K45" s="11">
        <f t="shared" si="2"/>
        <v>0</v>
      </c>
      <c r="L45" s="88">
        <f t="shared" si="6"/>
        <v>0</v>
      </c>
      <c r="M45" s="12" t="s">
        <v>143</v>
      </c>
      <c r="N45" s="91">
        <f t="shared" si="4"/>
        <v>1</v>
      </c>
      <c r="O45" s="91">
        <v>1</v>
      </c>
      <c r="P45" s="92" t="s">
        <v>58</v>
      </c>
      <c r="Q45" s="13">
        <v>1</v>
      </c>
      <c r="R45" s="93">
        <v>400</v>
      </c>
      <c r="S45" s="303" t="s">
        <v>226</v>
      </c>
      <c r="T45" s="303" t="s">
        <v>548</v>
      </c>
      <c r="U45" s="304" t="s">
        <v>549</v>
      </c>
    </row>
    <row r="46" spans="1:22" ht="114">
      <c r="A46" s="83" t="s">
        <v>19</v>
      </c>
      <c r="B46" s="8">
        <v>44533</v>
      </c>
      <c r="C46" s="15" t="s">
        <v>571</v>
      </c>
      <c r="D46" s="9" t="s">
        <v>93</v>
      </c>
      <c r="E46" s="10" t="s">
        <v>464</v>
      </c>
      <c r="F46" s="138" t="s">
        <v>465</v>
      </c>
      <c r="G46" s="11">
        <f t="shared" si="5"/>
        <v>829945.59</v>
      </c>
      <c r="H46" s="137">
        <v>829945.59</v>
      </c>
      <c r="I46" s="11">
        <f t="shared" si="1"/>
        <v>829945.59</v>
      </c>
      <c r="J46" s="11">
        <f>477766.87+239053.59+113125.13</f>
        <v>829945.59</v>
      </c>
      <c r="K46" s="11">
        <f t="shared" si="2"/>
        <v>0</v>
      </c>
      <c r="L46" s="88">
        <f t="shared" si="6"/>
        <v>0</v>
      </c>
      <c r="M46" s="12" t="s">
        <v>143</v>
      </c>
      <c r="N46" s="91">
        <f t="shared" si="4"/>
        <v>1</v>
      </c>
      <c r="O46" s="91">
        <v>1</v>
      </c>
      <c r="P46" s="92" t="s">
        <v>58</v>
      </c>
      <c r="Q46" s="13">
        <v>1</v>
      </c>
      <c r="R46" s="93">
        <v>400</v>
      </c>
      <c r="S46" s="303" t="s">
        <v>226</v>
      </c>
      <c r="T46" s="303" t="s">
        <v>550</v>
      </c>
      <c r="U46" s="304" t="s">
        <v>551</v>
      </c>
    </row>
    <row r="47" spans="1:22" ht="111" customHeight="1">
      <c r="A47" s="83" t="s">
        <v>19</v>
      </c>
      <c r="B47" s="8">
        <v>44533</v>
      </c>
      <c r="C47" s="15" t="s">
        <v>572</v>
      </c>
      <c r="D47" s="9" t="s">
        <v>148</v>
      </c>
      <c r="E47" s="10" t="s">
        <v>466</v>
      </c>
      <c r="F47" s="138" t="s">
        <v>467</v>
      </c>
      <c r="G47" s="11">
        <f t="shared" si="5"/>
        <v>194128.54</v>
      </c>
      <c r="H47" s="137">
        <v>194128.54</v>
      </c>
      <c r="I47" s="11">
        <f t="shared" si="1"/>
        <v>194128.54</v>
      </c>
      <c r="J47" s="11">
        <f>164904.75+29223.79</f>
        <v>194128.54</v>
      </c>
      <c r="K47" s="11">
        <f t="shared" si="2"/>
        <v>0</v>
      </c>
      <c r="L47" s="88">
        <f t="shared" si="6"/>
        <v>0</v>
      </c>
      <c r="M47" s="12" t="s">
        <v>143</v>
      </c>
      <c r="N47" s="91">
        <f t="shared" si="4"/>
        <v>1</v>
      </c>
      <c r="O47" s="91">
        <v>1</v>
      </c>
      <c r="P47" s="92" t="s">
        <v>58</v>
      </c>
      <c r="Q47" s="13">
        <v>1</v>
      </c>
      <c r="R47" s="93">
        <v>400</v>
      </c>
      <c r="S47" s="303" t="s">
        <v>397</v>
      </c>
      <c r="T47" s="303" t="s">
        <v>552</v>
      </c>
      <c r="U47" s="304" t="s">
        <v>553</v>
      </c>
    </row>
    <row r="48" spans="1:22" ht="112.5" customHeight="1">
      <c r="A48" s="83" t="s">
        <v>19</v>
      </c>
      <c r="B48" s="8">
        <v>44533</v>
      </c>
      <c r="C48" s="15" t="s">
        <v>573</v>
      </c>
      <c r="D48" s="9" t="s">
        <v>123</v>
      </c>
      <c r="E48" s="10" t="s">
        <v>468</v>
      </c>
      <c r="F48" s="138" t="s">
        <v>469</v>
      </c>
      <c r="G48" s="11">
        <f t="shared" si="5"/>
        <v>621523.25</v>
      </c>
      <c r="H48" s="137">
        <v>621523.25</v>
      </c>
      <c r="I48" s="11">
        <f t="shared" si="1"/>
        <v>621523.25</v>
      </c>
      <c r="J48" s="11">
        <f>369684.14+162501.77+89337.34</f>
        <v>621523.25</v>
      </c>
      <c r="K48" s="11">
        <f t="shared" si="2"/>
        <v>0</v>
      </c>
      <c r="L48" s="88">
        <f t="shared" si="6"/>
        <v>0</v>
      </c>
      <c r="M48" s="12" t="s">
        <v>143</v>
      </c>
      <c r="N48" s="91">
        <f t="shared" si="4"/>
        <v>1</v>
      </c>
      <c r="O48" s="91">
        <v>1</v>
      </c>
      <c r="P48" s="92" t="s">
        <v>58</v>
      </c>
      <c r="Q48" s="13" t="s">
        <v>20</v>
      </c>
      <c r="R48" s="93">
        <v>300</v>
      </c>
      <c r="S48" s="303" t="s">
        <v>397</v>
      </c>
      <c r="T48" s="303" t="s">
        <v>574</v>
      </c>
      <c r="U48" s="304" t="s">
        <v>575</v>
      </c>
    </row>
    <row r="49" spans="1:21" ht="42.75" customHeight="1">
      <c r="A49" s="83" t="s">
        <v>19</v>
      </c>
      <c r="B49" s="8">
        <v>44538</v>
      </c>
      <c r="C49" s="15" t="s">
        <v>576</v>
      </c>
      <c r="D49" s="9" t="s">
        <v>485</v>
      </c>
      <c r="E49" s="10" t="s">
        <v>486</v>
      </c>
      <c r="F49" s="138" t="s">
        <v>487</v>
      </c>
      <c r="G49" s="11">
        <f t="shared" si="5"/>
        <v>699783.92</v>
      </c>
      <c r="H49" s="137">
        <v>699783.92</v>
      </c>
      <c r="I49" s="11">
        <f t="shared" si="1"/>
        <v>699783.91999999993</v>
      </c>
      <c r="J49" s="11">
        <f>209935.18+489848.74</f>
        <v>699783.91999999993</v>
      </c>
      <c r="K49" s="11">
        <f t="shared" si="2"/>
        <v>0</v>
      </c>
      <c r="L49" s="88">
        <f t="shared" si="6"/>
        <v>0</v>
      </c>
      <c r="M49" s="12" t="s">
        <v>143</v>
      </c>
      <c r="N49" s="91">
        <f t="shared" si="4"/>
        <v>0.99999999999999989</v>
      </c>
      <c r="O49" s="91">
        <v>1</v>
      </c>
      <c r="P49" s="92" t="s">
        <v>58</v>
      </c>
      <c r="Q49" s="13">
        <v>1</v>
      </c>
      <c r="R49" s="93">
        <v>1100000</v>
      </c>
      <c r="S49" s="303" t="s">
        <v>488</v>
      </c>
      <c r="T49" s="303" t="s">
        <v>489</v>
      </c>
      <c r="U49" s="304" t="s">
        <v>490</v>
      </c>
    </row>
    <row r="50" spans="1:21" ht="107.25" customHeight="1">
      <c r="A50" s="83" t="s">
        <v>19</v>
      </c>
      <c r="B50" s="8">
        <v>44533</v>
      </c>
      <c r="C50" s="15" t="s">
        <v>577</v>
      </c>
      <c r="D50" s="9" t="s">
        <v>485</v>
      </c>
      <c r="E50" s="10" t="s">
        <v>491</v>
      </c>
      <c r="F50" s="138" t="s">
        <v>492</v>
      </c>
      <c r="G50" s="11">
        <f t="shared" si="5"/>
        <v>2289906.7999999998</v>
      </c>
      <c r="H50" s="137">
        <v>2289906.7999999998</v>
      </c>
      <c r="I50" s="11">
        <f t="shared" si="1"/>
        <v>2289906.7999999998</v>
      </c>
      <c r="J50" s="11">
        <f>686986.61+1602920.19</f>
        <v>2289906.7999999998</v>
      </c>
      <c r="K50" s="11">
        <f t="shared" si="2"/>
        <v>0</v>
      </c>
      <c r="L50" s="88">
        <f t="shared" si="6"/>
        <v>0</v>
      </c>
      <c r="M50" s="12" t="s">
        <v>143</v>
      </c>
      <c r="N50" s="91">
        <f t="shared" si="4"/>
        <v>1</v>
      </c>
      <c r="O50" s="91">
        <v>1</v>
      </c>
      <c r="P50" s="92" t="s">
        <v>58</v>
      </c>
      <c r="Q50" s="13">
        <v>1</v>
      </c>
      <c r="R50" s="93">
        <v>1100000</v>
      </c>
      <c r="S50" s="303" t="s">
        <v>493</v>
      </c>
      <c r="T50" s="303" t="s">
        <v>494</v>
      </c>
      <c r="U50" s="304" t="s">
        <v>495</v>
      </c>
    </row>
    <row r="51" spans="1:21" ht="127.5" customHeight="1">
      <c r="A51" s="83" t="s">
        <v>19</v>
      </c>
      <c r="B51" s="8">
        <v>44516</v>
      </c>
      <c r="C51" s="15" t="s">
        <v>595</v>
      </c>
      <c r="D51" s="9" t="s">
        <v>123</v>
      </c>
      <c r="E51" s="10" t="s">
        <v>554</v>
      </c>
      <c r="F51" s="138" t="s">
        <v>555</v>
      </c>
      <c r="G51" s="11">
        <f t="shared" si="5"/>
        <v>390027.94</v>
      </c>
      <c r="H51" s="137">
        <f>J51</f>
        <v>390027.94</v>
      </c>
      <c r="I51" s="11">
        <f t="shared" si="1"/>
        <v>390027.94</v>
      </c>
      <c r="J51" s="11">
        <f>390027.94</f>
        <v>390027.94</v>
      </c>
      <c r="K51" s="11">
        <f t="shared" si="2"/>
        <v>0</v>
      </c>
      <c r="L51" s="88">
        <f t="shared" si="6"/>
        <v>0</v>
      </c>
      <c r="M51" s="12" t="s">
        <v>143</v>
      </c>
      <c r="N51" s="91">
        <f t="shared" si="4"/>
        <v>1</v>
      </c>
      <c r="O51" s="91">
        <v>1</v>
      </c>
      <c r="P51" s="92" t="s">
        <v>58</v>
      </c>
      <c r="Q51" s="13" t="s">
        <v>20</v>
      </c>
      <c r="R51" s="93">
        <v>300</v>
      </c>
      <c r="S51" s="303" t="s">
        <v>397</v>
      </c>
      <c r="T51" s="303" t="s">
        <v>349</v>
      </c>
      <c r="U51" s="304" t="s">
        <v>556</v>
      </c>
    </row>
    <row r="52" spans="1:21" ht="99.75" customHeight="1">
      <c r="A52" s="83" t="s">
        <v>19</v>
      </c>
      <c r="B52" s="8">
        <v>44516</v>
      </c>
      <c r="C52" s="15" t="s">
        <v>596</v>
      </c>
      <c r="D52" s="9" t="s">
        <v>93</v>
      </c>
      <c r="E52" s="10" t="s">
        <v>557</v>
      </c>
      <c r="F52" s="138" t="s">
        <v>558</v>
      </c>
      <c r="G52" s="11">
        <f t="shared" si="5"/>
        <v>167749.54</v>
      </c>
      <c r="H52" s="137">
        <f>J52</f>
        <v>167749.54</v>
      </c>
      <c r="I52" s="11">
        <f t="shared" si="1"/>
        <v>167749.54</v>
      </c>
      <c r="J52" s="11">
        <f>167749.54</f>
        <v>167749.54</v>
      </c>
      <c r="K52" s="11">
        <f t="shared" si="2"/>
        <v>0</v>
      </c>
      <c r="L52" s="88">
        <f t="shared" si="6"/>
        <v>0</v>
      </c>
      <c r="M52" s="12" t="s">
        <v>143</v>
      </c>
      <c r="N52" s="91">
        <f t="shared" si="4"/>
        <v>1</v>
      </c>
      <c r="O52" s="91">
        <v>1</v>
      </c>
      <c r="P52" s="92" t="s">
        <v>58</v>
      </c>
      <c r="Q52" s="13">
        <v>1</v>
      </c>
      <c r="R52" s="93">
        <v>350</v>
      </c>
      <c r="S52" s="303" t="s">
        <v>397</v>
      </c>
      <c r="T52" s="303" t="s">
        <v>578</v>
      </c>
      <c r="U52" s="304" t="s">
        <v>559</v>
      </c>
    </row>
    <row r="53" spans="1:21" ht="102.75" customHeight="1">
      <c r="A53" s="83" t="s">
        <v>19</v>
      </c>
      <c r="B53" s="8">
        <v>44516</v>
      </c>
      <c r="C53" s="15" t="s">
        <v>597</v>
      </c>
      <c r="D53" s="9" t="s">
        <v>93</v>
      </c>
      <c r="E53" s="10" t="s">
        <v>560</v>
      </c>
      <c r="F53" s="138" t="s">
        <v>561</v>
      </c>
      <c r="G53" s="11">
        <f t="shared" si="5"/>
        <v>349553.87</v>
      </c>
      <c r="H53" s="137">
        <f>J53</f>
        <v>349553.87</v>
      </c>
      <c r="I53" s="11">
        <f t="shared" si="1"/>
        <v>349553.87</v>
      </c>
      <c r="J53" s="11">
        <f>349553.87</f>
        <v>349553.87</v>
      </c>
      <c r="K53" s="11">
        <f t="shared" si="2"/>
        <v>0</v>
      </c>
      <c r="L53" s="88">
        <f t="shared" si="6"/>
        <v>0</v>
      </c>
      <c r="M53" s="12" t="s">
        <v>143</v>
      </c>
      <c r="N53" s="91">
        <f t="shared" si="4"/>
        <v>1</v>
      </c>
      <c r="O53" s="91">
        <v>1</v>
      </c>
      <c r="P53" s="92" t="s">
        <v>58</v>
      </c>
      <c r="Q53" s="13">
        <v>1</v>
      </c>
      <c r="R53" s="93">
        <v>250</v>
      </c>
      <c r="S53" s="303" t="s">
        <v>397</v>
      </c>
      <c r="T53" s="303" t="s">
        <v>453</v>
      </c>
      <c r="U53" s="304" t="s">
        <v>562</v>
      </c>
    </row>
    <row r="54" spans="1:21" ht="114.75" thickBot="1">
      <c r="A54" s="94" t="s">
        <v>19</v>
      </c>
      <c r="B54" s="95">
        <v>44516</v>
      </c>
      <c r="C54" s="96" t="s">
        <v>598</v>
      </c>
      <c r="D54" s="97" t="s">
        <v>93</v>
      </c>
      <c r="E54" s="98" t="s">
        <v>563</v>
      </c>
      <c r="F54" s="395" t="s">
        <v>564</v>
      </c>
      <c r="G54" s="99">
        <f t="shared" si="5"/>
        <v>587555.29</v>
      </c>
      <c r="H54" s="100">
        <f>J54</f>
        <v>587555.29</v>
      </c>
      <c r="I54" s="99">
        <f t="shared" si="1"/>
        <v>587555.29</v>
      </c>
      <c r="J54" s="99">
        <f>587555.29</f>
        <v>587555.29</v>
      </c>
      <c r="K54" s="99">
        <f t="shared" si="2"/>
        <v>0</v>
      </c>
      <c r="L54" s="101">
        <f t="shared" si="6"/>
        <v>0</v>
      </c>
      <c r="M54" s="102" t="s">
        <v>143</v>
      </c>
      <c r="N54" s="103">
        <f t="shared" si="4"/>
        <v>1</v>
      </c>
      <c r="O54" s="103">
        <v>1</v>
      </c>
      <c r="P54" s="104" t="s">
        <v>58</v>
      </c>
      <c r="Q54" s="105">
        <v>1</v>
      </c>
      <c r="R54" s="106">
        <v>250</v>
      </c>
      <c r="S54" s="107" t="s">
        <v>397</v>
      </c>
      <c r="T54" s="107" t="s">
        <v>579</v>
      </c>
      <c r="U54" s="108" t="s">
        <v>565</v>
      </c>
    </row>
    <row r="55" spans="1:21" ht="15.75" thickBot="1">
      <c r="A55" s="139"/>
      <c r="B55" s="140"/>
      <c r="C55" s="139"/>
      <c r="D55" s="141"/>
      <c r="E55" s="142"/>
      <c r="F55" s="143"/>
      <c r="G55" s="144"/>
      <c r="H55" s="145"/>
      <c r="I55" s="144"/>
      <c r="J55" s="144"/>
      <c r="K55" s="144"/>
      <c r="L55" s="146"/>
      <c r="M55" s="147"/>
      <c r="N55" s="148"/>
      <c r="O55" s="148"/>
      <c r="P55" s="149"/>
      <c r="Q55" s="150"/>
      <c r="R55" s="151"/>
      <c r="S55" s="152"/>
      <c r="T55" s="152"/>
      <c r="U55" s="152"/>
    </row>
    <row r="56" spans="1:21" ht="16.5" thickTop="1" thickBot="1">
      <c r="A56" s="110"/>
      <c r="B56" s="110"/>
      <c r="C56" s="110"/>
      <c r="D56" s="110"/>
      <c r="E56" s="110"/>
      <c r="F56" s="306" t="s">
        <v>15</v>
      </c>
      <c r="G56" s="307">
        <f t="shared" ref="G56:L56" si="7">SUBTOTAL(9,G11:G54)</f>
        <v>149072410.63</v>
      </c>
      <c r="H56" s="307">
        <f t="shared" si="7"/>
        <v>149072410.63</v>
      </c>
      <c r="I56" s="307">
        <f t="shared" si="7"/>
        <v>149072410.63</v>
      </c>
      <c r="J56" s="307">
        <f t="shared" si="7"/>
        <v>149072410.63</v>
      </c>
      <c r="K56" s="307">
        <f t="shared" si="7"/>
        <v>0</v>
      </c>
      <c r="L56" s="307">
        <f t="shared" si="7"/>
        <v>0</v>
      </c>
      <c r="M56" s="308"/>
      <c r="N56" s="305"/>
      <c r="O56" s="305"/>
      <c r="P56" s="309"/>
      <c r="Q56" s="116"/>
      <c r="R56" s="116"/>
      <c r="S56" s="310"/>
      <c r="T56" s="305"/>
      <c r="U56" s="305"/>
    </row>
    <row r="57" spans="1:21" ht="15.75" thickTop="1">
      <c r="A57" s="305"/>
      <c r="B57" s="305"/>
      <c r="C57" s="311"/>
      <c r="D57" s="305"/>
      <c r="E57" s="305"/>
      <c r="F57" s="312"/>
      <c r="G57" s="122"/>
      <c r="H57" s="122" t="e">
        <f>H56-#REF!</f>
        <v>#REF!</v>
      </c>
      <c r="I57" s="122"/>
      <c r="J57" s="122"/>
      <c r="K57" s="122"/>
      <c r="L57" s="313"/>
      <c r="M57" s="310"/>
      <c r="N57" s="305"/>
      <c r="O57" s="128"/>
      <c r="P57" s="314"/>
      <c r="Q57" s="116"/>
      <c r="R57" s="116"/>
      <c r="S57" s="310"/>
      <c r="T57" s="305"/>
      <c r="U57" s="305"/>
    </row>
    <row r="58" spans="1:21">
      <c r="A58" s="315" t="s">
        <v>105</v>
      </c>
      <c r="B58" s="128"/>
      <c r="C58" s="128"/>
      <c r="D58" s="128"/>
      <c r="E58" s="128"/>
      <c r="F58" s="316"/>
      <c r="G58" s="128"/>
      <c r="H58" s="128"/>
      <c r="I58" s="128"/>
      <c r="J58" s="128"/>
      <c r="K58" s="317"/>
      <c r="L58" s="318"/>
      <c r="M58" s="128"/>
      <c r="N58" s="128"/>
      <c r="O58" s="129"/>
      <c r="P58" s="128"/>
      <c r="Q58" s="128"/>
      <c r="R58" s="128"/>
      <c r="S58" s="128"/>
      <c r="T58" s="128"/>
      <c r="U58" s="128"/>
    </row>
    <row r="59" spans="1:21">
      <c r="A59" s="129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319"/>
      <c r="P59" s="129"/>
      <c r="Q59" s="129"/>
      <c r="R59" s="129"/>
      <c r="S59" s="129"/>
      <c r="T59" s="129"/>
      <c r="U59" s="129"/>
    </row>
  </sheetData>
  <autoFilter ref="A10:U22">
    <filterColumn colId="15" showButton="0"/>
  </autoFilter>
  <mergeCells count="16">
    <mergeCell ref="T9:U9"/>
    <mergeCell ref="A6:B6"/>
    <mergeCell ref="C6:E6"/>
    <mergeCell ref="A2:B3"/>
    <mergeCell ref="C2:U2"/>
    <mergeCell ref="C3:U3"/>
    <mergeCell ref="A5:B5"/>
    <mergeCell ref="C5:E5"/>
    <mergeCell ref="K9:L9"/>
    <mergeCell ref="P10:Q10"/>
    <mergeCell ref="A7:B7"/>
    <mergeCell ref="C7:E7"/>
    <mergeCell ref="A8:B8"/>
    <mergeCell ref="C8:E8"/>
    <mergeCell ref="G9:H9"/>
    <mergeCell ref="I9:J9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tabSelected="1" topLeftCell="A7" workbookViewId="0">
      <selection activeCell="O11" sqref="O11"/>
    </sheetView>
  </sheetViews>
  <sheetFormatPr baseColWidth="10" defaultRowHeight="15"/>
  <cols>
    <col min="1" max="1" width="8.85546875" customWidth="1"/>
    <col min="2" max="2" width="11" customWidth="1"/>
    <col min="3" max="3" width="19.28515625" customWidth="1"/>
    <col min="4" max="4" width="2" hidden="1" customWidth="1"/>
    <col min="5" max="5" width="8.140625" customWidth="1"/>
    <col min="6" max="6" width="31.7109375" customWidth="1"/>
    <col min="7" max="7" width="15.42578125" customWidth="1"/>
    <col min="8" max="8" width="12.42578125" hidden="1" customWidth="1"/>
    <col min="9" max="9" width="15" customWidth="1"/>
    <col min="10" max="10" width="15.140625" hidden="1" customWidth="1"/>
    <col min="11" max="11" width="8.7109375" customWidth="1"/>
    <col min="12" max="12" width="18.42578125" hidden="1" customWidth="1"/>
    <col min="13" max="13" width="10.85546875" customWidth="1"/>
    <col min="14" max="14" width="10.85546875" style="55" customWidth="1"/>
    <col min="15" max="15" width="10.28515625" style="55" customWidth="1"/>
    <col min="16" max="17" width="8.28515625" customWidth="1"/>
    <col min="18" max="18" width="9.5703125" customWidth="1"/>
    <col min="19" max="19" width="13.7109375" customWidth="1"/>
    <col min="20" max="20" width="17.85546875" customWidth="1"/>
    <col min="21" max="21" width="10.42578125" customWidth="1"/>
    <col min="203" max="203" width="11.5703125" customWidth="1"/>
    <col min="205" max="205" width="12.42578125" customWidth="1"/>
    <col min="206" max="206" width="12" customWidth="1"/>
    <col min="207" max="207" width="28.85546875" customWidth="1"/>
    <col min="209" max="210" width="0" hidden="1" customWidth="1"/>
    <col min="211" max="211" width="14.5703125" customWidth="1"/>
    <col min="212" max="213" width="0" hidden="1" customWidth="1"/>
    <col min="215" max="216" width="0" hidden="1" customWidth="1"/>
    <col min="226" max="226" width="0" hidden="1" customWidth="1"/>
    <col min="459" max="459" width="11.5703125" customWidth="1"/>
    <col min="461" max="461" width="12.42578125" customWidth="1"/>
    <col min="462" max="462" width="12" customWidth="1"/>
    <col min="463" max="463" width="28.85546875" customWidth="1"/>
    <col min="465" max="466" width="0" hidden="1" customWidth="1"/>
    <col min="467" max="467" width="14.5703125" customWidth="1"/>
    <col min="468" max="469" width="0" hidden="1" customWidth="1"/>
    <col min="471" max="472" width="0" hidden="1" customWidth="1"/>
    <col min="482" max="482" width="0" hidden="1" customWidth="1"/>
    <col min="715" max="715" width="11.5703125" customWidth="1"/>
    <col min="717" max="717" width="12.42578125" customWidth="1"/>
    <col min="718" max="718" width="12" customWidth="1"/>
    <col min="719" max="719" width="28.85546875" customWidth="1"/>
    <col min="721" max="722" width="0" hidden="1" customWidth="1"/>
    <col min="723" max="723" width="14.5703125" customWidth="1"/>
    <col min="724" max="725" width="0" hidden="1" customWidth="1"/>
    <col min="727" max="728" width="0" hidden="1" customWidth="1"/>
    <col min="738" max="738" width="0" hidden="1" customWidth="1"/>
    <col min="971" max="971" width="11.5703125" customWidth="1"/>
    <col min="973" max="973" width="12.42578125" customWidth="1"/>
    <col min="974" max="974" width="12" customWidth="1"/>
    <col min="975" max="975" width="28.85546875" customWidth="1"/>
    <col min="977" max="978" width="0" hidden="1" customWidth="1"/>
    <col min="979" max="979" width="14.5703125" customWidth="1"/>
    <col min="980" max="981" width="0" hidden="1" customWidth="1"/>
    <col min="983" max="984" width="0" hidden="1" customWidth="1"/>
    <col min="994" max="994" width="0" hidden="1" customWidth="1"/>
    <col min="1227" max="1227" width="11.5703125" customWidth="1"/>
    <col min="1229" max="1229" width="12.42578125" customWidth="1"/>
    <col min="1230" max="1230" width="12" customWidth="1"/>
    <col min="1231" max="1231" width="28.85546875" customWidth="1"/>
    <col min="1233" max="1234" width="0" hidden="1" customWidth="1"/>
    <col min="1235" max="1235" width="14.5703125" customWidth="1"/>
    <col min="1236" max="1237" width="0" hidden="1" customWidth="1"/>
    <col min="1239" max="1240" width="0" hidden="1" customWidth="1"/>
    <col min="1250" max="1250" width="0" hidden="1" customWidth="1"/>
    <col min="1483" max="1483" width="11.5703125" customWidth="1"/>
    <col min="1485" max="1485" width="12.42578125" customWidth="1"/>
    <col min="1486" max="1486" width="12" customWidth="1"/>
    <col min="1487" max="1487" width="28.85546875" customWidth="1"/>
    <col min="1489" max="1490" width="0" hidden="1" customWidth="1"/>
    <col min="1491" max="1491" width="14.5703125" customWidth="1"/>
    <col min="1492" max="1493" width="0" hidden="1" customWidth="1"/>
    <col min="1495" max="1496" width="0" hidden="1" customWidth="1"/>
    <col min="1506" max="1506" width="0" hidden="1" customWidth="1"/>
    <col min="1739" max="1739" width="11.5703125" customWidth="1"/>
    <col min="1741" max="1741" width="12.42578125" customWidth="1"/>
    <col min="1742" max="1742" width="12" customWidth="1"/>
    <col min="1743" max="1743" width="28.85546875" customWidth="1"/>
    <col min="1745" max="1746" width="0" hidden="1" customWidth="1"/>
    <col min="1747" max="1747" width="14.5703125" customWidth="1"/>
    <col min="1748" max="1749" width="0" hidden="1" customWidth="1"/>
    <col min="1751" max="1752" width="0" hidden="1" customWidth="1"/>
    <col min="1762" max="1762" width="0" hidden="1" customWidth="1"/>
    <col min="1995" max="1995" width="11.5703125" customWidth="1"/>
    <col min="1997" max="1997" width="12.42578125" customWidth="1"/>
    <col min="1998" max="1998" width="12" customWidth="1"/>
    <col min="1999" max="1999" width="28.85546875" customWidth="1"/>
    <col min="2001" max="2002" width="0" hidden="1" customWidth="1"/>
    <col min="2003" max="2003" width="14.5703125" customWidth="1"/>
    <col min="2004" max="2005" width="0" hidden="1" customWidth="1"/>
    <col min="2007" max="2008" width="0" hidden="1" customWidth="1"/>
    <col min="2018" max="2018" width="0" hidden="1" customWidth="1"/>
    <col min="2251" max="2251" width="11.5703125" customWidth="1"/>
    <col min="2253" max="2253" width="12.42578125" customWidth="1"/>
    <col min="2254" max="2254" width="12" customWidth="1"/>
    <col min="2255" max="2255" width="28.85546875" customWidth="1"/>
    <col min="2257" max="2258" width="0" hidden="1" customWidth="1"/>
    <col min="2259" max="2259" width="14.5703125" customWidth="1"/>
    <col min="2260" max="2261" width="0" hidden="1" customWidth="1"/>
    <col min="2263" max="2264" width="0" hidden="1" customWidth="1"/>
    <col min="2274" max="2274" width="0" hidden="1" customWidth="1"/>
    <col min="2507" max="2507" width="11.5703125" customWidth="1"/>
    <col min="2509" max="2509" width="12.42578125" customWidth="1"/>
    <col min="2510" max="2510" width="12" customWidth="1"/>
    <col min="2511" max="2511" width="28.85546875" customWidth="1"/>
    <col min="2513" max="2514" width="0" hidden="1" customWidth="1"/>
    <col min="2515" max="2515" width="14.5703125" customWidth="1"/>
    <col min="2516" max="2517" width="0" hidden="1" customWidth="1"/>
    <col min="2519" max="2520" width="0" hidden="1" customWidth="1"/>
    <col min="2530" max="2530" width="0" hidden="1" customWidth="1"/>
    <col min="2763" max="2763" width="11.5703125" customWidth="1"/>
    <col min="2765" max="2765" width="12.42578125" customWidth="1"/>
    <col min="2766" max="2766" width="12" customWidth="1"/>
    <col min="2767" max="2767" width="28.85546875" customWidth="1"/>
    <col min="2769" max="2770" width="0" hidden="1" customWidth="1"/>
    <col min="2771" max="2771" width="14.5703125" customWidth="1"/>
    <col min="2772" max="2773" width="0" hidden="1" customWidth="1"/>
    <col min="2775" max="2776" width="0" hidden="1" customWidth="1"/>
    <col min="2786" max="2786" width="0" hidden="1" customWidth="1"/>
    <col min="3019" max="3019" width="11.5703125" customWidth="1"/>
    <col min="3021" max="3021" width="12.42578125" customWidth="1"/>
    <col min="3022" max="3022" width="12" customWidth="1"/>
    <col min="3023" max="3023" width="28.85546875" customWidth="1"/>
    <col min="3025" max="3026" width="0" hidden="1" customWidth="1"/>
    <col min="3027" max="3027" width="14.5703125" customWidth="1"/>
    <col min="3028" max="3029" width="0" hidden="1" customWidth="1"/>
    <col min="3031" max="3032" width="0" hidden="1" customWidth="1"/>
    <col min="3042" max="3042" width="0" hidden="1" customWidth="1"/>
    <col min="3275" max="3275" width="11.5703125" customWidth="1"/>
    <col min="3277" max="3277" width="12.42578125" customWidth="1"/>
    <col min="3278" max="3278" width="12" customWidth="1"/>
    <col min="3279" max="3279" width="28.85546875" customWidth="1"/>
    <col min="3281" max="3282" width="0" hidden="1" customWidth="1"/>
    <col min="3283" max="3283" width="14.5703125" customWidth="1"/>
    <col min="3284" max="3285" width="0" hidden="1" customWidth="1"/>
    <col min="3287" max="3288" width="0" hidden="1" customWidth="1"/>
    <col min="3298" max="3298" width="0" hidden="1" customWidth="1"/>
    <col min="3531" max="3531" width="11.5703125" customWidth="1"/>
    <col min="3533" max="3533" width="12.42578125" customWidth="1"/>
    <col min="3534" max="3534" width="12" customWidth="1"/>
    <col min="3535" max="3535" width="28.85546875" customWidth="1"/>
    <col min="3537" max="3538" width="0" hidden="1" customWidth="1"/>
    <col min="3539" max="3539" width="14.5703125" customWidth="1"/>
    <col min="3540" max="3541" width="0" hidden="1" customWidth="1"/>
    <col min="3543" max="3544" width="0" hidden="1" customWidth="1"/>
    <col min="3554" max="3554" width="0" hidden="1" customWidth="1"/>
    <col min="3787" max="3787" width="11.5703125" customWidth="1"/>
    <col min="3789" max="3789" width="12.42578125" customWidth="1"/>
    <col min="3790" max="3790" width="12" customWidth="1"/>
    <col min="3791" max="3791" width="28.85546875" customWidth="1"/>
    <col min="3793" max="3794" width="0" hidden="1" customWidth="1"/>
    <col min="3795" max="3795" width="14.5703125" customWidth="1"/>
    <col min="3796" max="3797" width="0" hidden="1" customWidth="1"/>
    <col min="3799" max="3800" width="0" hidden="1" customWidth="1"/>
    <col min="3810" max="3810" width="0" hidden="1" customWidth="1"/>
    <col min="4043" max="4043" width="11.5703125" customWidth="1"/>
    <col min="4045" max="4045" width="12.42578125" customWidth="1"/>
    <col min="4046" max="4046" width="12" customWidth="1"/>
    <col min="4047" max="4047" width="28.85546875" customWidth="1"/>
    <col min="4049" max="4050" width="0" hidden="1" customWidth="1"/>
    <col min="4051" max="4051" width="14.5703125" customWidth="1"/>
    <col min="4052" max="4053" width="0" hidden="1" customWidth="1"/>
    <col min="4055" max="4056" width="0" hidden="1" customWidth="1"/>
    <col min="4066" max="4066" width="0" hidden="1" customWidth="1"/>
    <col min="4299" max="4299" width="11.5703125" customWidth="1"/>
    <col min="4301" max="4301" width="12.42578125" customWidth="1"/>
    <col min="4302" max="4302" width="12" customWidth="1"/>
    <col min="4303" max="4303" width="28.85546875" customWidth="1"/>
    <col min="4305" max="4306" width="0" hidden="1" customWidth="1"/>
    <col min="4307" max="4307" width="14.5703125" customWidth="1"/>
    <col min="4308" max="4309" width="0" hidden="1" customWidth="1"/>
    <col min="4311" max="4312" width="0" hidden="1" customWidth="1"/>
    <col min="4322" max="4322" width="0" hidden="1" customWidth="1"/>
    <col min="4555" max="4555" width="11.5703125" customWidth="1"/>
    <col min="4557" max="4557" width="12.42578125" customWidth="1"/>
    <col min="4558" max="4558" width="12" customWidth="1"/>
    <col min="4559" max="4559" width="28.85546875" customWidth="1"/>
    <col min="4561" max="4562" width="0" hidden="1" customWidth="1"/>
    <col min="4563" max="4563" width="14.5703125" customWidth="1"/>
    <col min="4564" max="4565" width="0" hidden="1" customWidth="1"/>
    <col min="4567" max="4568" width="0" hidden="1" customWidth="1"/>
    <col min="4578" max="4578" width="0" hidden="1" customWidth="1"/>
    <col min="4811" max="4811" width="11.5703125" customWidth="1"/>
    <col min="4813" max="4813" width="12.42578125" customWidth="1"/>
    <col min="4814" max="4814" width="12" customWidth="1"/>
    <col min="4815" max="4815" width="28.85546875" customWidth="1"/>
    <col min="4817" max="4818" width="0" hidden="1" customWidth="1"/>
    <col min="4819" max="4819" width="14.5703125" customWidth="1"/>
    <col min="4820" max="4821" width="0" hidden="1" customWidth="1"/>
    <col min="4823" max="4824" width="0" hidden="1" customWidth="1"/>
    <col min="4834" max="4834" width="0" hidden="1" customWidth="1"/>
    <col min="5067" max="5067" width="11.5703125" customWidth="1"/>
    <col min="5069" max="5069" width="12.42578125" customWidth="1"/>
    <col min="5070" max="5070" width="12" customWidth="1"/>
    <col min="5071" max="5071" width="28.85546875" customWidth="1"/>
    <col min="5073" max="5074" width="0" hidden="1" customWidth="1"/>
    <col min="5075" max="5075" width="14.5703125" customWidth="1"/>
    <col min="5076" max="5077" width="0" hidden="1" customWidth="1"/>
    <col min="5079" max="5080" width="0" hidden="1" customWidth="1"/>
    <col min="5090" max="5090" width="0" hidden="1" customWidth="1"/>
    <col min="5323" max="5323" width="11.5703125" customWidth="1"/>
    <col min="5325" max="5325" width="12.42578125" customWidth="1"/>
    <col min="5326" max="5326" width="12" customWidth="1"/>
    <col min="5327" max="5327" width="28.85546875" customWidth="1"/>
    <col min="5329" max="5330" width="0" hidden="1" customWidth="1"/>
    <col min="5331" max="5331" width="14.5703125" customWidth="1"/>
    <col min="5332" max="5333" width="0" hidden="1" customWidth="1"/>
    <col min="5335" max="5336" width="0" hidden="1" customWidth="1"/>
    <col min="5346" max="5346" width="0" hidden="1" customWidth="1"/>
    <col min="5579" max="5579" width="11.5703125" customWidth="1"/>
    <col min="5581" max="5581" width="12.42578125" customWidth="1"/>
    <col min="5582" max="5582" width="12" customWidth="1"/>
    <col min="5583" max="5583" width="28.85546875" customWidth="1"/>
    <col min="5585" max="5586" width="0" hidden="1" customWidth="1"/>
    <col min="5587" max="5587" width="14.5703125" customWidth="1"/>
    <col min="5588" max="5589" width="0" hidden="1" customWidth="1"/>
    <col min="5591" max="5592" width="0" hidden="1" customWidth="1"/>
    <col min="5602" max="5602" width="0" hidden="1" customWidth="1"/>
    <col min="5835" max="5835" width="11.5703125" customWidth="1"/>
    <col min="5837" max="5837" width="12.42578125" customWidth="1"/>
    <col min="5838" max="5838" width="12" customWidth="1"/>
    <col min="5839" max="5839" width="28.85546875" customWidth="1"/>
    <col min="5841" max="5842" width="0" hidden="1" customWidth="1"/>
    <col min="5843" max="5843" width="14.5703125" customWidth="1"/>
    <col min="5844" max="5845" width="0" hidden="1" customWidth="1"/>
    <col min="5847" max="5848" width="0" hidden="1" customWidth="1"/>
    <col min="5858" max="5858" width="0" hidden="1" customWidth="1"/>
    <col min="6091" max="6091" width="11.5703125" customWidth="1"/>
    <col min="6093" max="6093" width="12.42578125" customWidth="1"/>
    <col min="6094" max="6094" width="12" customWidth="1"/>
    <col min="6095" max="6095" width="28.85546875" customWidth="1"/>
    <col min="6097" max="6098" width="0" hidden="1" customWidth="1"/>
    <col min="6099" max="6099" width="14.5703125" customWidth="1"/>
    <col min="6100" max="6101" width="0" hidden="1" customWidth="1"/>
    <col min="6103" max="6104" width="0" hidden="1" customWidth="1"/>
    <col min="6114" max="6114" width="0" hidden="1" customWidth="1"/>
    <col min="6347" max="6347" width="11.5703125" customWidth="1"/>
    <col min="6349" max="6349" width="12.42578125" customWidth="1"/>
    <col min="6350" max="6350" width="12" customWidth="1"/>
    <col min="6351" max="6351" width="28.85546875" customWidth="1"/>
    <col min="6353" max="6354" width="0" hidden="1" customWidth="1"/>
    <col min="6355" max="6355" width="14.5703125" customWidth="1"/>
    <col min="6356" max="6357" width="0" hidden="1" customWidth="1"/>
    <col min="6359" max="6360" width="0" hidden="1" customWidth="1"/>
    <col min="6370" max="6370" width="0" hidden="1" customWidth="1"/>
    <col min="6603" max="6603" width="11.5703125" customWidth="1"/>
    <col min="6605" max="6605" width="12.42578125" customWidth="1"/>
    <col min="6606" max="6606" width="12" customWidth="1"/>
    <col min="6607" max="6607" width="28.85546875" customWidth="1"/>
    <col min="6609" max="6610" width="0" hidden="1" customWidth="1"/>
    <col min="6611" max="6611" width="14.5703125" customWidth="1"/>
    <col min="6612" max="6613" width="0" hidden="1" customWidth="1"/>
    <col min="6615" max="6616" width="0" hidden="1" customWidth="1"/>
    <col min="6626" max="6626" width="0" hidden="1" customWidth="1"/>
    <col min="6859" max="6859" width="11.5703125" customWidth="1"/>
    <col min="6861" max="6861" width="12.42578125" customWidth="1"/>
    <col min="6862" max="6862" width="12" customWidth="1"/>
    <col min="6863" max="6863" width="28.85546875" customWidth="1"/>
    <col min="6865" max="6866" width="0" hidden="1" customWidth="1"/>
    <col min="6867" max="6867" width="14.5703125" customWidth="1"/>
    <col min="6868" max="6869" width="0" hidden="1" customWidth="1"/>
    <col min="6871" max="6872" width="0" hidden="1" customWidth="1"/>
    <col min="6882" max="6882" width="0" hidden="1" customWidth="1"/>
    <col min="7115" max="7115" width="11.5703125" customWidth="1"/>
    <col min="7117" max="7117" width="12.42578125" customWidth="1"/>
    <col min="7118" max="7118" width="12" customWidth="1"/>
    <col min="7119" max="7119" width="28.85546875" customWidth="1"/>
    <col min="7121" max="7122" width="0" hidden="1" customWidth="1"/>
    <col min="7123" max="7123" width="14.5703125" customWidth="1"/>
    <col min="7124" max="7125" width="0" hidden="1" customWidth="1"/>
    <col min="7127" max="7128" width="0" hidden="1" customWidth="1"/>
    <col min="7138" max="7138" width="0" hidden="1" customWidth="1"/>
    <col min="7371" max="7371" width="11.5703125" customWidth="1"/>
    <col min="7373" max="7373" width="12.42578125" customWidth="1"/>
    <col min="7374" max="7374" width="12" customWidth="1"/>
    <col min="7375" max="7375" width="28.85546875" customWidth="1"/>
    <col min="7377" max="7378" width="0" hidden="1" customWidth="1"/>
    <col min="7379" max="7379" width="14.5703125" customWidth="1"/>
    <col min="7380" max="7381" width="0" hidden="1" customWidth="1"/>
    <col min="7383" max="7384" width="0" hidden="1" customWidth="1"/>
    <col min="7394" max="7394" width="0" hidden="1" customWidth="1"/>
    <col min="7627" max="7627" width="11.5703125" customWidth="1"/>
    <col min="7629" max="7629" width="12.42578125" customWidth="1"/>
    <col min="7630" max="7630" width="12" customWidth="1"/>
    <col min="7631" max="7631" width="28.85546875" customWidth="1"/>
    <col min="7633" max="7634" width="0" hidden="1" customWidth="1"/>
    <col min="7635" max="7635" width="14.5703125" customWidth="1"/>
    <col min="7636" max="7637" width="0" hidden="1" customWidth="1"/>
    <col min="7639" max="7640" width="0" hidden="1" customWidth="1"/>
    <col min="7650" max="7650" width="0" hidden="1" customWidth="1"/>
    <col min="7883" max="7883" width="11.5703125" customWidth="1"/>
    <col min="7885" max="7885" width="12.42578125" customWidth="1"/>
    <col min="7886" max="7886" width="12" customWidth="1"/>
    <col min="7887" max="7887" width="28.85546875" customWidth="1"/>
    <col min="7889" max="7890" width="0" hidden="1" customWidth="1"/>
    <col min="7891" max="7891" width="14.5703125" customWidth="1"/>
    <col min="7892" max="7893" width="0" hidden="1" customWidth="1"/>
    <col min="7895" max="7896" width="0" hidden="1" customWidth="1"/>
    <col min="7906" max="7906" width="0" hidden="1" customWidth="1"/>
    <col min="8139" max="8139" width="11.5703125" customWidth="1"/>
    <col min="8141" max="8141" width="12.42578125" customWidth="1"/>
    <col min="8142" max="8142" width="12" customWidth="1"/>
    <col min="8143" max="8143" width="28.85546875" customWidth="1"/>
    <col min="8145" max="8146" width="0" hidden="1" customWidth="1"/>
    <col min="8147" max="8147" width="14.5703125" customWidth="1"/>
    <col min="8148" max="8149" width="0" hidden="1" customWidth="1"/>
    <col min="8151" max="8152" width="0" hidden="1" customWidth="1"/>
    <col min="8162" max="8162" width="0" hidden="1" customWidth="1"/>
    <col min="8395" max="8395" width="11.5703125" customWidth="1"/>
    <col min="8397" max="8397" width="12.42578125" customWidth="1"/>
    <col min="8398" max="8398" width="12" customWidth="1"/>
    <col min="8399" max="8399" width="28.85546875" customWidth="1"/>
    <col min="8401" max="8402" width="0" hidden="1" customWidth="1"/>
    <col min="8403" max="8403" width="14.5703125" customWidth="1"/>
    <col min="8404" max="8405" width="0" hidden="1" customWidth="1"/>
    <col min="8407" max="8408" width="0" hidden="1" customWidth="1"/>
    <col min="8418" max="8418" width="0" hidden="1" customWidth="1"/>
    <col min="8651" max="8651" width="11.5703125" customWidth="1"/>
    <col min="8653" max="8653" width="12.42578125" customWidth="1"/>
    <col min="8654" max="8654" width="12" customWidth="1"/>
    <col min="8655" max="8655" width="28.85546875" customWidth="1"/>
    <col min="8657" max="8658" width="0" hidden="1" customWidth="1"/>
    <col min="8659" max="8659" width="14.5703125" customWidth="1"/>
    <col min="8660" max="8661" width="0" hidden="1" customWidth="1"/>
    <col min="8663" max="8664" width="0" hidden="1" customWidth="1"/>
    <col min="8674" max="8674" width="0" hidden="1" customWidth="1"/>
    <col min="8907" max="8907" width="11.5703125" customWidth="1"/>
    <col min="8909" max="8909" width="12.42578125" customWidth="1"/>
    <col min="8910" max="8910" width="12" customWidth="1"/>
    <col min="8911" max="8911" width="28.85546875" customWidth="1"/>
    <col min="8913" max="8914" width="0" hidden="1" customWidth="1"/>
    <col min="8915" max="8915" width="14.5703125" customWidth="1"/>
    <col min="8916" max="8917" width="0" hidden="1" customWidth="1"/>
    <col min="8919" max="8920" width="0" hidden="1" customWidth="1"/>
    <col min="8930" max="8930" width="0" hidden="1" customWidth="1"/>
    <col min="9163" max="9163" width="11.5703125" customWidth="1"/>
    <col min="9165" max="9165" width="12.42578125" customWidth="1"/>
    <col min="9166" max="9166" width="12" customWidth="1"/>
    <col min="9167" max="9167" width="28.85546875" customWidth="1"/>
    <col min="9169" max="9170" width="0" hidden="1" customWidth="1"/>
    <col min="9171" max="9171" width="14.5703125" customWidth="1"/>
    <col min="9172" max="9173" width="0" hidden="1" customWidth="1"/>
    <col min="9175" max="9176" width="0" hidden="1" customWidth="1"/>
    <col min="9186" max="9186" width="0" hidden="1" customWidth="1"/>
    <col min="9419" max="9419" width="11.5703125" customWidth="1"/>
    <col min="9421" max="9421" width="12.42578125" customWidth="1"/>
    <col min="9422" max="9422" width="12" customWidth="1"/>
    <col min="9423" max="9423" width="28.85546875" customWidth="1"/>
    <col min="9425" max="9426" width="0" hidden="1" customWidth="1"/>
    <col min="9427" max="9427" width="14.5703125" customWidth="1"/>
    <col min="9428" max="9429" width="0" hidden="1" customWidth="1"/>
    <col min="9431" max="9432" width="0" hidden="1" customWidth="1"/>
    <col min="9442" max="9442" width="0" hidden="1" customWidth="1"/>
    <col min="9675" max="9675" width="11.5703125" customWidth="1"/>
    <col min="9677" max="9677" width="12.42578125" customWidth="1"/>
    <col min="9678" max="9678" width="12" customWidth="1"/>
    <col min="9679" max="9679" width="28.85546875" customWidth="1"/>
    <col min="9681" max="9682" width="0" hidden="1" customWidth="1"/>
    <col min="9683" max="9683" width="14.5703125" customWidth="1"/>
    <col min="9684" max="9685" width="0" hidden="1" customWidth="1"/>
    <col min="9687" max="9688" width="0" hidden="1" customWidth="1"/>
    <col min="9698" max="9698" width="0" hidden="1" customWidth="1"/>
    <col min="9931" max="9931" width="11.5703125" customWidth="1"/>
    <col min="9933" max="9933" width="12.42578125" customWidth="1"/>
    <col min="9934" max="9934" width="12" customWidth="1"/>
    <col min="9935" max="9935" width="28.85546875" customWidth="1"/>
    <col min="9937" max="9938" width="0" hidden="1" customWidth="1"/>
    <col min="9939" max="9939" width="14.5703125" customWidth="1"/>
    <col min="9940" max="9941" width="0" hidden="1" customWidth="1"/>
    <col min="9943" max="9944" width="0" hidden="1" customWidth="1"/>
    <col min="9954" max="9954" width="0" hidden="1" customWidth="1"/>
    <col min="10187" max="10187" width="11.5703125" customWidth="1"/>
    <col min="10189" max="10189" width="12.42578125" customWidth="1"/>
    <col min="10190" max="10190" width="12" customWidth="1"/>
    <col min="10191" max="10191" width="28.85546875" customWidth="1"/>
    <col min="10193" max="10194" width="0" hidden="1" customWidth="1"/>
    <col min="10195" max="10195" width="14.5703125" customWidth="1"/>
    <col min="10196" max="10197" width="0" hidden="1" customWidth="1"/>
    <col min="10199" max="10200" width="0" hidden="1" customWidth="1"/>
    <col min="10210" max="10210" width="0" hidden="1" customWidth="1"/>
    <col min="10443" max="10443" width="11.5703125" customWidth="1"/>
    <col min="10445" max="10445" width="12.42578125" customWidth="1"/>
    <col min="10446" max="10446" width="12" customWidth="1"/>
    <col min="10447" max="10447" width="28.85546875" customWidth="1"/>
    <col min="10449" max="10450" width="0" hidden="1" customWidth="1"/>
    <col min="10451" max="10451" width="14.5703125" customWidth="1"/>
    <col min="10452" max="10453" width="0" hidden="1" customWidth="1"/>
    <col min="10455" max="10456" width="0" hidden="1" customWidth="1"/>
    <col min="10466" max="10466" width="0" hidden="1" customWidth="1"/>
    <col min="10699" max="10699" width="11.5703125" customWidth="1"/>
    <col min="10701" max="10701" width="12.42578125" customWidth="1"/>
    <col min="10702" max="10702" width="12" customWidth="1"/>
    <col min="10703" max="10703" width="28.85546875" customWidth="1"/>
    <col min="10705" max="10706" width="0" hidden="1" customWidth="1"/>
    <col min="10707" max="10707" width="14.5703125" customWidth="1"/>
    <col min="10708" max="10709" width="0" hidden="1" customWidth="1"/>
    <col min="10711" max="10712" width="0" hidden="1" customWidth="1"/>
    <col min="10722" max="10722" width="0" hidden="1" customWidth="1"/>
    <col min="10955" max="10955" width="11.5703125" customWidth="1"/>
    <col min="10957" max="10957" width="12.42578125" customWidth="1"/>
    <col min="10958" max="10958" width="12" customWidth="1"/>
    <col min="10959" max="10959" width="28.85546875" customWidth="1"/>
    <col min="10961" max="10962" width="0" hidden="1" customWidth="1"/>
    <col min="10963" max="10963" width="14.5703125" customWidth="1"/>
    <col min="10964" max="10965" width="0" hidden="1" customWidth="1"/>
    <col min="10967" max="10968" width="0" hidden="1" customWidth="1"/>
    <col min="10978" max="10978" width="0" hidden="1" customWidth="1"/>
    <col min="11211" max="11211" width="11.5703125" customWidth="1"/>
    <col min="11213" max="11213" width="12.42578125" customWidth="1"/>
    <col min="11214" max="11214" width="12" customWidth="1"/>
    <col min="11215" max="11215" width="28.85546875" customWidth="1"/>
    <col min="11217" max="11218" width="0" hidden="1" customWidth="1"/>
    <col min="11219" max="11219" width="14.5703125" customWidth="1"/>
    <col min="11220" max="11221" width="0" hidden="1" customWidth="1"/>
    <col min="11223" max="11224" width="0" hidden="1" customWidth="1"/>
    <col min="11234" max="11234" width="0" hidden="1" customWidth="1"/>
    <col min="11467" max="11467" width="11.5703125" customWidth="1"/>
    <col min="11469" max="11469" width="12.42578125" customWidth="1"/>
    <col min="11470" max="11470" width="12" customWidth="1"/>
    <col min="11471" max="11471" width="28.85546875" customWidth="1"/>
    <col min="11473" max="11474" width="0" hidden="1" customWidth="1"/>
    <col min="11475" max="11475" width="14.5703125" customWidth="1"/>
    <col min="11476" max="11477" width="0" hidden="1" customWidth="1"/>
    <col min="11479" max="11480" width="0" hidden="1" customWidth="1"/>
    <col min="11490" max="11490" width="0" hidden="1" customWidth="1"/>
    <col min="11723" max="11723" width="11.5703125" customWidth="1"/>
    <col min="11725" max="11725" width="12.42578125" customWidth="1"/>
    <col min="11726" max="11726" width="12" customWidth="1"/>
    <col min="11727" max="11727" width="28.85546875" customWidth="1"/>
    <col min="11729" max="11730" width="0" hidden="1" customWidth="1"/>
    <col min="11731" max="11731" width="14.5703125" customWidth="1"/>
    <col min="11732" max="11733" width="0" hidden="1" customWidth="1"/>
    <col min="11735" max="11736" width="0" hidden="1" customWidth="1"/>
    <col min="11746" max="11746" width="0" hidden="1" customWidth="1"/>
    <col min="11979" max="11979" width="11.5703125" customWidth="1"/>
    <col min="11981" max="11981" width="12.42578125" customWidth="1"/>
    <col min="11982" max="11982" width="12" customWidth="1"/>
    <col min="11983" max="11983" width="28.85546875" customWidth="1"/>
    <col min="11985" max="11986" width="0" hidden="1" customWidth="1"/>
    <col min="11987" max="11987" width="14.5703125" customWidth="1"/>
    <col min="11988" max="11989" width="0" hidden="1" customWidth="1"/>
    <col min="11991" max="11992" width="0" hidden="1" customWidth="1"/>
    <col min="12002" max="12002" width="0" hidden="1" customWidth="1"/>
    <col min="12235" max="12235" width="11.5703125" customWidth="1"/>
    <col min="12237" max="12237" width="12.42578125" customWidth="1"/>
    <col min="12238" max="12238" width="12" customWidth="1"/>
    <col min="12239" max="12239" width="28.85546875" customWidth="1"/>
    <col min="12241" max="12242" width="0" hidden="1" customWidth="1"/>
    <col min="12243" max="12243" width="14.5703125" customWidth="1"/>
    <col min="12244" max="12245" width="0" hidden="1" customWidth="1"/>
    <col min="12247" max="12248" width="0" hidden="1" customWidth="1"/>
    <col min="12258" max="12258" width="0" hidden="1" customWidth="1"/>
    <col min="12491" max="12491" width="11.5703125" customWidth="1"/>
    <col min="12493" max="12493" width="12.42578125" customWidth="1"/>
    <col min="12494" max="12494" width="12" customWidth="1"/>
    <col min="12495" max="12495" width="28.85546875" customWidth="1"/>
    <col min="12497" max="12498" width="0" hidden="1" customWidth="1"/>
    <col min="12499" max="12499" width="14.5703125" customWidth="1"/>
    <col min="12500" max="12501" width="0" hidden="1" customWidth="1"/>
    <col min="12503" max="12504" width="0" hidden="1" customWidth="1"/>
    <col min="12514" max="12514" width="0" hidden="1" customWidth="1"/>
    <col min="12747" max="12747" width="11.5703125" customWidth="1"/>
    <col min="12749" max="12749" width="12.42578125" customWidth="1"/>
    <col min="12750" max="12750" width="12" customWidth="1"/>
    <col min="12751" max="12751" width="28.85546875" customWidth="1"/>
    <col min="12753" max="12754" width="0" hidden="1" customWidth="1"/>
    <col min="12755" max="12755" width="14.5703125" customWidth="1"/>
    <col min="12756" max="12757" width="0" hidden="1" customWidth="1"/>
    <col min="12759" max="12760" width="0" hidden="1" customWidth="1"/>
    <col min="12770" max="12770" width="0" hidden="1" customWidth="1"/>
    <col min="13003" max="13003" width="11.5703125" customWidth="1"/>
    <col min="13005" max="13005" width="12.42578125" customWidth="1"/>
    <col min="13006" max="13006" width="12" customWidth="1"/>
    <col min="13007" max="13007" width="28.85546875" customWidth="1"/>
    <col min="13009" max="13010" width="0" hidden="1" customWidth="1"/>
    <col min="13011" max="13011" width="14.5703125" customWidth="1"/>
    <col min="13012" max="13013" width="0" hidden="1" customWidth="1"/>
    <col min="13015" max="13016" width="0" hidden="1" customWidth="1"/>
    <col min="13026" max="13026" width="0" hidden="1" customWidth="1"/>
    <col min="13259" max="13259" width="11.5703125" customWidth="1"/>
    <col min="13261" max="13261" width="12.42578125" customWidth="1"/>
    <col min="13262" max="13262" width="12" customWidth="1"/>
    <col min="13263" max="13263" width="28.85546875" customWidth="1"/>
    <col min="13265" max="13266" width="0" hidden="1" customWidth="1"/>
    <col min="13267" max="13267" width="14.5703125" customWidth="1"/>
    <col min="13268" max="13269" width="0" hidden="1" customWidth="1"/>
    <col min="13271" max="13272" width="0" hidden="1" customWidth="1"/>
    <col min="13282" max="13282" width="0" hidden="1" customWidth="1"/>
    <col min="13515" max="13515" width="11.5703125" customWidth="1"/>
    <col min="13517" max="13517" width="12.42578125" customWidth="1"/>
    <col min="13518" max="13518" width="12" customWidth="1"/>
    <col min="13519" max="13519" width="28.85546875" customWidth="1"/>
    <col min="13521" max="13522" width="0" hidden="1" customWidth="1"/>
    <col min="13523" max="13523" width="14.5703125" customWidth="1"/>
    <col min="13524" max="13525" width="0" hidden="1" customWidth="1"/>
    <col min="13527" max="13528" width="0" hidden="1" customWidth="1"/>
    <col min="13538" max="13538" width="0" hidden="1" customWidth="1"/>
    <col min="13771" max="13771" width="11.5703125" customWidth="1"/>
    <col min="13773" max="13773" width="12.42578125" customWidth="1"/>
    <col min="13774" max="13774" width="12" customWidth="1"/>
    <col min="13775" max="13775" width="28.85546875" customWidth="1"/>
    <col min="13777" max="13778" width="0" hidden="1" customWidth="1"/>
    <col min="13779" max="13779" width="14.5703125" customWidth="1"/>
    <col min="13780" max="13781" width="0" hidden="1" customWidth="1"/>
    <col min="13783" max="13784" width="0" hidden="1" customWidth="1"/>
    <col min="13794" max="13794" width="0" hidden="1" customWidth="1"/>
    <col min="14027" max="14027" width="11.5703125" customWidth="1"/>
    <col min="14029" max="14029" width="12.42578125" customWidth="1"/>
    <col min="14030" max="14030" width="12" customWidth="1"/>
    <col min="14031" max="14031" width="28.85546875" customWidth="1"/>
    <col min="14033" max="14034" width="0" hidden="1" customWidth="1"/>
    <col min="14035" max="14035" width="14.5703125" customWidth="1"/>
    <col min="14036" max="14037" width="0" hidden="1" customWidth="1"/>
    <col min="14039" max="14040" width="0" hidden="1" customWidth="1"/>
    <col min="14050" max="14050" width="0" hidden="1" customWidth="1"/>
    <col min="14283" max="14283" width="11.5703125" customWidth="1"/>
    <col min="14285" max="14285" width="12.42578125" customWidth="1"/>
    <col min="14286" max="14286" width="12" customWidth="1"/>
    <col min="14287" max="14287" width="28.85546875" customWidth="1"/>
    <col min="14289" max="14290" width="0" hidden="1" customWidth="1"/>
    <col min="14291" max="14291" width="14.5703125" customWidth="1"/>
    <col min="14292" max="14293" width="0" hidden="1" customWidth="1"/>
    <col min="14295" max="14296" width="0" hidden="1" customWidth="1"/>
    <col min="14306" max="14306" width="0" hidden="1" customWidth="1"/>
    <col min="14539" max="14539" width="11.5703125" customWidth="1"/>
    <col min="14541" max="14541" width="12.42578125" customWidth="1"/>
    <col min="14542" max="14542" width="12" customWidth="1"/>
    <col min="14543" max="14543" width="28.85546875" customWidth="1"/>
    <col min="14545" max="14546" width="0" hidden="1" customWidth="1"/>
    <col min="14547" max="14547" width="14.5703125" customWidth="1"/>
    <col min="14548" max="14549" width="0" hidden="1" customWidth="1"/>
    <col min="14551" max="14552" width="0" hidden="1" customWidth="1"/>
    <col min="14562" max="14562" width="0" hidden="1" customWidth="1"/>
    <col min="14795" max="14795" width="11.5703125" customWidth="1"/>
    <col min="14797" max="14797" width="12.42578125" customWidth="1"/>
    <col min="14798" max="14798" width="12" customWidth="1"/>
    <col min="14799" max="14799" width="28.85546875" customWidth="1"/>
    <col min="14801" max="14802" width="0" hidden="1" customWidth="1"/>
    <col min="14803" max="14803" width="14.5703125" customWidth="1"/>
    <col min="14804" max="14805" width="0" hidden="1" customWidth="1"/>
    <col min="14807" max="14808" width="0" hidden="1" customWidth="1"/>
    <col min="14818" max="14818" width="0" hidden="1" customWidth="1"/>
    <col min="15051" max="15051" width="11.5703125" customWidth="1"/>
    <col min="15053" max="15053" width="12.42578125" customWidth="1"/>
    <col min="15054" max="15054" width="12" customWidth="1"/>
    <col min="15055" max="15055" width="28.85546875" customWidth="1"/>
    <col min="15057" max="15058" width="0" hidden="1" customWidth="1"/>
    <col min="15059" max="15059" width="14.5703125" customWidth="1"/>
    <col min="15060" max="15061" width="0" hidden="1" customWidth="1"/>
    <col min="15063" max="15064" width="0" hidden="1" customWidth="1"/>
    <col min="15074" max="15074" width="0" hidden="1" customWidth="1"/>
    <col min="15307" max="15307" width="11.5703125" customWidth="1"/>
    <col min="15309" max="15309" width="12.42578125" customWidth="1"/>
    <col min="15310" max="15310" width="12" customWidth="1"/>
    <col min="15311" max="15311" width="28.85546875" customWidth="1"/>
    <col min="15313" max="15314" width="0" hidden="1" customWidth="1"/>
    <col min="15315" max="15315" width="14.5703125" customWidth="1"/>
    <col min="15316" max="15317" width="0" hidden="1" customWidth="1"/>
    <col min="15319" max="15320" width="0" hidden="1" customWidth="1"/>
    <col min="15330" max="15330" width="0" hidden="1" customWidth="1"/>
    <col min="15563" max="15563" width="11.5703125" customWidth="1"/>
    <col min="15565" max="15565" width="12.42578125" customWidth="1"/>
    <col min="15566" max="15566" width="12" customWidth="1"/>
    <col min="15567" max="15567" width="28.85546875" customWidth="1"/>
    <col min="15569" max="15570" width="0" hidden="1" customWidth="1"/>
    <col min="15571" max="15571" width="14.5703125" customWidth="1"/>
    <col min="15572" max="15573" width="0" hidden="1" customWidth="1"/>
    <col min="15575" max="15576" width="0" hidden="1" customWidth="1"/>
    <col min="15586" max="15586" width="0" hidden="1" customWidth="1"/>
    <col min="15819" max="15819" width="11.5703125" customWidth="1"/>
    <col min="15821" max="15821" width="12.42578125" customWidth="1"/>
    <col min="15822" max="15822" width="12" customWidth="1"/>
    <col min="15823" max="15823" width="28.85546875" customWidth="1"/>
    <col min="15825" max="15826" width="0" hidden="1" customWidth="1"/>
    <col min="15827" max="15827" width="14.5703125" customWidth="1"/>
    <col min="15828" max="15829" width="0" hidden="1" customWidth="1"/>
    <col min="15831" max="15832" width="0" hidden="1" customWidth="1"/>
    <col min="15842" max="15842" width="0" hidden="1" customWidth="1"/>
    <col min="16075" max="16075" width="11.5703125" customWidth="1"/>
    <col min="16077" max="16077" width="12.42578125" customWidth="1"/>
    <col min="16078" max="16078" width="12" customWidth="1"/>
    <col min="16079" max="16079" width="28.85546875" customWidth="1"/>
    <col min="16081" max="16082" width="0" hidden="1" customWidth="1"/>
    <col min="16083" max="16083" width="14.5703125" customWidth="1"/>
    <col min="16084" max="16085" width="0" hidden="1" customWidth="1"/>
    <col min="16087" max="16088" width="0" hidden="1" customWidth="1"/>
    <col min="16098" max="16098" width="0" hidden="1" customWidth="1"/>
  </cols>
  <sheetData>
    <row r="1" spans="1:23">
      <c r="F1" s="2"/>
    </row>
    <row r="2" spans="1:23" ht="51" customHeight="1">
      <c r="A2" s="470"/>
      <c r="B2" s="470"/>
      <c r="C2" s="471" t="s">
        <v>18</v>
      </c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</row>
    <row r="3" spans="1:23" ht="51" customHeight="1">
      <c r="A3" s="470"/>
      <c r="B3" s="470"/>
      <c r="C3" s="492" t="s">
        <v>84</v>
      </c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</row>
    <row r="4" spans="1:23" ht="22.5" customHeight="1">
      <c r="A4" s="470"/>
      <c r="B4" s="470"/>
      <c r="C4" s="493" t="s">
        <v>85</v>
      </c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</row>
    <row r="5" spans="1:23" ht="15.75" thickBot="1">
      <c r="A5" s="1"/>
      <c r="B5" s="1"/>
      <c r="F5" s="2"/>
      <c r="M5" s="1"/>
    </row>
    <row r="6" spans="1:23" s="4" customFormat="1" ht="24.95" customHeight="1">
      <c r="A6" s="473" t="s">
        <v>16</v>
      </c>
      <c r="B6" s="474"/>
      <c r="C6" s="494">
        <v>606119992</v>
      </c>
      <c r="D6" s="494"/>
      <c r="E6" s="495"/>
      <c r="F6" s="56"/>
      <c r="G6" s="285"/>
      <c r="M6" s="7"/>
      <c r="N6" s="3"/>
      <c r="O6" s="3"/>
    </row>
    <row r="7" spans="1:23" s="4" customFormat="1" ht="34.5" customHeight="1">
      <c r="A7" s="468" t="s">
        <v>17</v>
      </c>
      <c r="B7" s="469"/>
      <c r="C7" s="483">
        <f>G18</f>
        <v>606055369.38999999</v>
      </c>
      <c r="D7" s="483"/>
      <c r="E7" s="484"/>
      <c r="F7" s="56"/>
      <c r="G7" s="285"/>
      <c r="M7" s="7"/>
      <c r="N7" s="3"/>
      <c r="O7" s="3"/>
    </row>
    <row r="8" spans="1:23" s="4" customFormat="1" ht="34.5" customHeight="1">
      <c r="A8" s="487" t="s">
        <v>566</v>
      </c>
      <c r="B8" s="488"/>
      <c r="C8" s="489">
        <f>125179.3+35071.93</f>
        <v>160251.23000000001</v>
      </c>
      <c r="D8" s="490"/>
      <c r="E8" s="491"/>
      <c r="F8" s="56"/>
      <c r="G8" s="285"/>
      <c r="M8" s="7"/>
      <c r="N8" s="3"/>
      <c r="O8" s="3"/>
    </row>
    <row r="9" spans="1:23" s="4" customFormat="1" ht="24.95" customHeight="1">
      <c r="A9" s="456" t="s">
        <v>0</v>
      </c>
      <c r="B9" s="457"/>
      <c r="C9" s="483">
        <f>I18</f>
        <v>606055369.38999999</v>
      </c>
      <c r="D9" s="483"/>
      <c r="E9" s="484"/>
      <c r="F9" s="56"/>
      <c r="G9" s="285"/>
      <c r="I9" s="57"/>
      <c r="J9" s="58"/>
      <c r="M9" s="7"/>
      <c r="N9" s="3"/>
      <c r="O9" s="3"/>
    </row>
    <row r="10" spans="1:23" s="4" customFormat="1" ht="36.75" customHeight="1" thickBot="1">
      <c r="A10" s="485" t="s">
        <v>737</v>
      </c>
      <c r="B10" s="486"/>
      <c r="C10" s="462">
        <f>C6+C8-C9</f>
        <v>224873.84000003338</v>
      </c>
      <c r="D10" s="462"/>
      <c r="E10" s="463"/>
      <c r="F10" s="56"/>
      <c r="G10" s="285"/>
      <c r="H10" s="6"/>
      <c r="I10" s="6"/>
      <c r="M10" s="7"/>
      <c r="N10" s="3"/>
      <c r="O10" s="3"/>
    </row>
    <row r="11" spans="1:23" s="4" customFormat="1" ht="24.95" customHeight="1" thickBot="1">
      <c r="A11" s="281"/>
      <c r="B11" s="281"/>
      <c r="C11" s="282"/>
      <c r="D11" s="282"/>
      <c r="E11" s="282"/>
      <c r="F11" s="56"/>
      <c r="G11" s="6"/>
      <c r="H11" s="6"/>
      <c r="I11" s="6"/>
      <c r="M11" s="7"/>
      <c r="N11" s="3"/>
      <c r="O11" s="3"/>
    </row>
    <row r="12" spans="1:23" s="66" customFormat="1" ht="25.5" customHeight="1" thickTop="1" thickBot="1">
      <c r="A12" s="59"/>
      <c r="B12" s="59"/>
      <c r="C12" s="59"/>
      <c r="D12" s="59"/>
      <c r="E12" s="60"/>
      <c r="F12" s="59"/>
      <c r="G12" s="464" t="s">
        <v>2</v>
      </c>
      <c r="H12" s="479"/>
      <c r="I12" s="466" t="s">
        <v>3</v>
      </c>
      <c r="J12" s="479"/>
      <c r="K12" s="480" t="s">
        <v>4</v>
      </c>
      <c r="L12" s="480"/>
      <c r="M12" s="61"/>
      <c r="N12" s="62"/>
      <c r="O12" s="62"/>
      <c r="P12" s="63"/>
      <c r="Q12" s="63"/>
      <c r="R12" s="63"/>
      <c r="S12" s="64"/>
      <c r="T12" s="62"/>
      <c r="U12" s="65" t="s">
        <v>599</v>
      </c>
      <c r="V12" s="62"/>
    </row>
    <row r="13" spans="1:23" s="16" customFormat="1" ht="42" customHeight="1" thickBot="1">
      <c r="A13" s="67" t="s">
        <v>5</v>
      </c>
      <c r="B13" s="68" t="s">
        <v>6</v>
      </c>
      <c r="C13" s="68" t="s">
        <v>7</v>
      </c>
      <c r="D13" s="68" t="s">
        <v>86</v>
      </c>
      <c r="E13" s="69" t="s">
        <v>87</v>
      </c>
      <c r="F13" s="68" t="s">
        <v>8</v>
      </c>
      <c r="G13" s="70" t="s">
        <v>9</v>
      </c>
      <c r="H13" s="70" t="s">
        <v>88</v>
      </c>
      <c r="I13" s="71" t="s">
        <v>9</v>
      </c>
      <c r="J13" s="71" t="s">
        <v>88</v>
      </c>
      <c r="K13" s="71" t="s">
        <v>9</v>
      </c>
      <c r="L13" s="72" t="s">
        <v>88</v>
      </c>
      <c r="M13" s="68" t="s">
        <v>10</v>
      </c>
      <c r="N13" s="68" t="s">
        <v>89</v>
      </c>
      <c r="O13" s="68" t="s">
        <v>90</v>
      </c>
      <c r="P13" s="481" t="s">
        <v>11</v>
      </c>
      <c r="Q13" s="482"/>
      <c r="R13" s="331" t="s">
        <v>12</v>
      </c>
      <c r="S13" s="68" t="s">
        <v>91</v>
      </c>
      <c r="T13" s="68" t="s">
        <v>13</v>
      </c>
      <c r="U13" s="73" t="s">
        <v>14</v>
      </c>
      <c r="V13" s="74"/>
    </row>
    <row r="14" spans="1:23" s="66" customFormat="1" ht="64.5" customHeight="1" thickTop="1">
      <c r="A14" s="233" t="s">
        <v>92</v>
      </c>
      <c r="B14" s="75">
        <v>44432</v>
      </c>
      <c r="C14" s="76" t="s">
        <v>418</v>
      </c>
      <c r="D14" s="234" t="s">
        <v>93</v>
      </c>
      <c r="E14" s="235" t="s">
        <v>94</v>
      </c>
      <c r="F14" s="77" t="s">
        <v>95</v>
      </c>
      <c r="G14" s="236">
        <f>I14</f>
        <v>502950473.55000001</v>
      </c>
      <c r="H14" s="78">
        <f>I14</f>
        <v>502950473.55000001</v>
      </c>
      <c r="I14" s="236">
        <f t="shared" ref="I14:I16" si="0">J14</f>
        <v>502950473.55000001</v>
      </c>
      <c r="J14" s="236">
        <v>502950473.55000001</v>
      </c>
      <c r="K14" s="236">
        <f>L14</f>
        <v>0</v>
      </c>
      <c r="L14" s="237">
        <f>H14-J14</f>
        <v>0</v>
      </c>
      <c r="M14" s="79" t="s">
        <v>96</v>
      </c>
      <c r="N14" s="238">
        <f>I14/G14</f>
        <v>1</v>
      </c>
      <c r="O14" s="238">
        <f>N14</f>
        <v>1</v>
      </c>
      <c r="P14" s="239" t="s">
        <v>97</v>
      </c>
      <c r="Q14" s="240">
        <v>1</v>
      </c>
      <c r="R14" s="241">
        <v>877190</v>
      </c>
      <c r="S14" s="80" t="s">
        <v>98</v>
      </c>
      <c r="T14" s="80" t="s">
        <v>98</v>
      </c>
      <c r="U14" s="81" t="s">
        <v>99</v>
      </c>
      <c r="V14" s="82"/>
      <c r="W14" s="82"/>
    </row>
    <row r="15" spans="1:23" s="66" customFormat="1" ht="89.25" customHeight="1">
      <c r="A15" s="83" t="s">
        <v>92</v>
      </c>
      <c r="B15" s="84">
        <v>44442</v>
      </c>
      <c r="C15" s="85" t="s">
        <v>736</v>
      </c>
      <c r="D15" s="9" t="s">
        <v>93</v>
      </c>
      <c r="E15" s="10" t="s">
        <v>100</v>
      </c>
      <c r="F15" s="86" t="s">
        <v>101</v>
      </c>
      <c r="G15" s="11">
        <f>I15</f>
        <v>20307368.899999999</v>
      </c>
      <c r="H15" s="87">
        <f>I15</f>
        <v>20307368.899999999</v>
      </c>
      <c r="I15" s="11">
        <f t="shared" si="0"/>
        <v>20307368.899999999</v>
      </c>
      <c r="J15" s="11">
        <v>20307368.899999999</v>
      </c>
      <c r="K15" s="11">
        <f t="shared" ref="K15" si="1">L15</f>
        <v>0</v>
      </c>
      <c r="L15" s="88">
        <f t="shared" ref="L15" si="2">H15-J15</f>
        <v>0</v>
      </c>
      <c r="M15" s="89" t="s">
        <v>96</v>
      </c>
      <c r="N15" s="90">
        <v>1</v>
      </c>
      <c r="O15" s="91">
        <f>N15</f>
        <v>1</v>
      </c>
      <c r="P15" s="92" t="s">
        <v>97</v>
      </c>
      <c r="Q15" s="13">
        <v>1</v>
      </c>
      <c r="R15" s="93">
        <v>877190</v>
      </c>
      <c r="S15" s="80" t="s">
        <v>419</v>
      </c>
      <c r="T15" s="80" t="s">
        <v>420</v>
      </c>
      <c r="U15" s="81" t="s">
        <v>421</v>
      </c>
      <c r="V15" s="82"/>
      <c r="W15" s="82"/>
    </row>
    <row r="16" spans="1:23" s="66" customFormat="1" ht="64.5" customHeight="1">
      <c r="A16" s="286" t="s">
        <v>92</v>
      </c>
      <c r="B16" s="75">
        <v>44252</v>
      </c>
      <c r="C16" s="76" t="s">
        <v>102</v>
      </c>
      <c r="D16" s="287"/>
      <c r="E16" s="288" t="s">
        <v>103</v>
      </c>
      <c r="F16" s="77" t="s">
        <v>104</v>
      </c>
      <c r="G16" s="11">
        <f>I16</f>
        <v>82797526.939999998</v>
      </c>
      <c r="H16" s="78">
        <f>J16</f>
        <v>82797526.939999998</v>
      </c>
      <c r="I16" s="11">
        <f t="shared" si="0"/>
        <v>82797526.939999998</v>
      </c>
      <c r="J16" s="11">
        <v>82797526.939999998</v>
      </c>
      <c r="K16" s="11">
        <f>G16-I16</f>
        <v>0</v>
      </c>
      <c r="L16" s="289"/>
      <c r="M16" s="79" t="s">
        <v>96</v>
      </c>
      <c r="N16" s="91">
        <f>I16/G16</f>
        <v>1</v>
      </c>
      <c r="O16" s="91">
        <f>I16/G16</f>
        <v>1</v>
      </c>
      <c r="P16" s="290" t="s">
        <v>97</v>
      </c>
      <c r="Q16" s="291">
        <v>1</v>
      </c>
      <c r="R16" s="292">
        <v>877190</v>
      </c>
      <c r="S16" s="80" t="s">
        <v>98</v>
      </c>
      <c r="T16" s="80" t="s">
        <v>98</v>
      </c>
      <c r="U16" s="81" t="s">
        <v>99</v>
      </c>
      <c r="V16" s="82"/>
      <c r="W16" s="82"/>
    </row>
    <row r="17" spans="1:22" s="66" customFormat="1" ht="15.75" thickBot="1">
      <c r="A17" s="94"/>
      <c r="B17" s="95"/>
      <c r="C17" s="96"/>
      <c r="D17" s="97"/>
      <c r="E17" s="98"/>
      <c r="F17" s="293"/>
      <c r="G17" s="99"/>
      <c r="H17" s="100"/>
      <c r="I17" s="99"/>
      <c r="J17" s="100"/>
      <c r="K17" s="99"/>
      <c r="L17" s="101"/>
      <c r="M17" s="102"/>
      <c r="N17" s="103"/>
      <c r="O17" s="103"/>
      <c r="P17" s="104"/>
      <c r="Q17" s="105"/>
      <c r="R17" s="106"/>
      <c r="S17" s="107"/>
      <c r="T17" s="107"/>
      <c r="U17" s="108"/>
      <c r="V17" s="114"/>
    </row>
    <row r="18" spans="1:22" s="66" customFormat="1" ht="15.75" thickBot="1">
      <c r="A18" s="109"/>
      <c r="B18" s="109"/>
      <c r="C18" s="109"/>
      <c r="D18" s="109"/>
      <c r="E18" s="110"/>
      <c r="F18" s="111" t="s">
        <v>15</v>
      </c>
      <c r="G18" s="112">
        <f>SUM(G14:G17)</f>
        <v>606055369.38999999</v>
      </c>
      <c r="H18" s="112">
        <f>SUM(H14:H17)</f>
        <v>606055369.38999999</v>
      </c>
      <c r="I18" s="112">
        <f>SUM(I14:I17)</f>
        <v>606055369.38999999</v>
      </c>
      <c r="J18" s="112">
        <f>SUM(J14:J17)</f>
        <v>606055369.38999999</v>
      </c>
      <c r="K18" s="112">
        <f>SUM(K14:K17)</f>
        <v>0</v>
      </c>
      <c r="L18" s="112">
        <f>SUBTOTAL(9,L15:L17)</f>
        <v>0</v>
      </c>
      <c r="M18" s="113"/>
      <c r="N18" s="114"/>
      <c r="O18" s="114"/>
      <c r="P18" s="115"/>
      <c r="Q18" s="116"/>
      <c r="R18" s="116"/>
      <c r="S18" s="117"/>
      <c r="T18" s="114"/>
      <c r="U18" s="114"/>
    </row>
    <row r="19" spans="1:22" ht="15.75" thickTop="1">
      <c r="A19" s="118"/>
      <c r="B19" s="118"/>
      <c r="C19" s="119"/>
      <c r="D19" s="120"/>
      <c r="E19" s="118"/>
      <c r="F19" s="121"/>
      <c r="G19" s="122"/>
      <c r="H19" s="122"/>
      <c r="I19" s="123"/>
      <c r="J19" s="123"/>
      <c r="K19" s="123"/>
      <c r="L19" s="124"/>
      <c r="M19" s="117"/>
      <c r="N19" s="114"/>
      <c r="O19" s="114"/>
      <c r="P19" s="125"/>
      <c r="Q19" s="116"/>
      <c r="R19" s="116"/>
      <c r="S19" s="117"/>
      <c r="T19" s="114"/>
      <c r="U19" s="114"/>
    </row>
    <row r="20" spans="1:22">
      <c r="A20" s="126" t="s">
        <v>105</v>
      </c>
      <c r="B20" s="66"/>
      <c r="C20" s="66"/>
      <c r="D20" s="66"/>
      <c r="E20" s="66"/>
      <c r="F20" s="127"/>
      <c r="G20" s="128"/>
      <c r="H20" s="128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</row>
    <row r="21" spans="1:22">
      <c r="I21" s="130"/>
      <c r="J21" s="131"/>
      <c r="K21" s="131"/>
    </row>
    <row r="22" spans="1:22">
      <c r="I22" s="130"/>
      <c r="K22" s="131"/>
    </row>
    <row r="23" spans="1:22">
      <c r="I23" s="131"/>
    </row>
    <row r="24" spans="1:22">
      <c r="K24" s="131"/>
    </row>
    <row r="25" spans="1:22">
      <c r="K25" s="131"/>
    </row>
  </sheetData>
  <mergeCells count="18">
    <mergeCell ref="A2:B4"/>
    <mergeCell ref="C2:U2"/>
    <mergeCell ref="C3:U3"/>
    <mergeCell ref="C4:U4"/>
    <mergeCell ref="A6:B6"/>
    <mergeCell ref="C6:E6"/>
    <mergeCell ref="G12:H12"/>
    <mergeCell ref="I12:J12"/>
    <mergeCell ref="K12:L12"/>
    <mergeCell ref="P13:Q13"/>
    <mergeCell ref="A7:B7"/>
    <mergeCell ref="C7:E7"/>
    <mergeCell ref="A9:B9"/>
    <mergeCell ref="C9:E9"/>
    <mergeCell ref="A10:B10"/>
    <mergeCell ref="C10:E10"/>
    <mergeCell ref="A8:B8"/>
    <mergeCell ref="C8:E8"/>
  </mergeCells>
  <printOptions horizontalCentered="1"/>
  <pageMargins left="0.31496062992125984" right="0.31496062992125984" top="0.35433070866141736" bottom="0.35433070866141736" header="0.31496062992125984" footer="0.31496062992125984"/>
  <pageSetup paperSize="290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U117"/>
  <sheetViews>
    <sheetView zoomScale="80" zoomScaleNormal="80" workbookViewId="0">
      <selection activeCell="Q10" sqref="Q10"/>
    </sheetView>
  </sheetViews>
  <sheetFormatPr baseColWidth="10" defaultRowHeight="15"/>
  <cols>
    <col min="3" max="3" width="14.85546875" customWidth="1"/>
    <col min="4" max="4" width="0" hidden="1" customWidth="1"/>
    <col min="5" max="5" width="6.28515625" customWidth="1"/>
    <col min="6" max="6" width="34.42578125" customWidth="1"/>
    <col min="7" max="7" width="14.7109375" customWidth="1"/>
    <col min="8" max="8" width="12.85546875" hidden="1" customWidth="1"/>
    <col min="9" max="9" width="14.7109375" customWidth="1"/>
    <col min="10" max="10" width="11.42578125" hidden="1" customWidth="1"/>
    <col min="11" max="11" width="15.42578125" hidden="1" customWidth="1"/>
    <col min="12" max="12" width="8.7109375" customWidth="1"/>
    <col min="13" max="13" width="13.85546875" customWidth="1"/>
    <col min="15" max="15" width="11.42578125" style="252"/>
    <col min="16" max="16" width="13.28515625" customWidth="1"/>
    <col min="18" max="18" width="8.7109375" customWidth="1"/>
    <col min="19" max="19" width="10.28515625" customWidth="1"/>
  </cols>
  <sheetData>
    <row r="2" spans="1:21" ht="51" customHeight="1">
      <c r="A2" s="470"/>
      <c r="B2" s="470"/>
      <c r="C2" s="499" t="s">
        <v>738</v>
      </c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  <c r="T2" s="499"/>
      <c r="U2" s="499"/>
    </row>
    <row r="3" spans="1:21" ht="33" customHeight="1">
      <c r="A3" s="470"/>
      <c r="B3" s="470"/>
      <c r="C3" s="492" t="s">
        <v>740</v>
      </c>
      <c r="D3" s="502"/>
      <c r="E3" s="492"/>
      <c r="F3" s="492"/>
      <c r="G3" s="492"/>
      <c r="H3" s="502"/>
      <c r="I3" s="492"/>
      <c r="J3" s="502"/>
      <c r="K3" s="492"/>
      <c r="L3" s="502"/>
      <c r="M3" s="492"/>
      <c r="N3" s="492"/>
      <c r="O3" s="492"/>
      <c r="P3" s="492"/>
      <c r="Q3" s="492"/>
      <c r="R3" s="492"/>
      <c r="S3" s="492"/>
      <c r="T3" s="492"/>
      <c r="U3" s="394"/>
    </row>
    <row r="4" spans="1:21" ht="24.75" customHeight="1">
      <c r="A4" s="470"/>
      <c r="B4" s="470"/>
      <c r="C4" s="500" t="s">
        <v>569</v>
      </c>
      <c r="D4" s="501"/>
      <c r="E4" s="500"/>
      <c r="F4" s="500"/>
      <c r="G4" s="500"/>
      <c r="H4" s="501"/>
      <c r="I4" s="500"/>
      <c r="J4" s="501"/>
      <c r="K4" s="500"/>
      <c r="L4" s="501"/>
      <c r="M4" s="500"/>
      <c r="N4" s="500"/>
      <c r="O4" s="500"/>
      <c r="P4" s="500"/>
      <c r="Q4" s="500"/>
      <c r="R4" s="500"/>
      <c r="S4" s="500"/>
      <c r="T4" s="500"/>
      <c r="U4" s="500"/>
    </row>
    <row r="5" spans="1:21" ht="24.75" customHeight="1">
      <c r="A5" s="470"/>
      <c r="B5" s="470"/>
      <c r="C5" s="500" t="s">
        <v>739</v>
      </c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500"/>
      <c r="R5" s="500"/>
      <c r="S5" s="500"/>
      <c r="T5" s="500"/>
      <c r="U5" s="500"/>
    </row>
    <row r="6" spans="1:21" ht="15.75" thickBot="1">
      <c r="A6" s="1"/>
      <c r="B6" s="1"/>
      <c r="F6" s="2"/>
      <c r="K6" s="1"/>
      <c r="L6" s="17"/>
      <c r="M6" s="17"/>
      <c r="R6" s="5"/>
    </row>
    <row r="7" spans="1:21" s="4" customFormat="1" ht="24.95" customHeight="1">
      <c r="A7" s="473" t="s">
        <v>16</v>
      </c>
      <c r="B7" s="474"/>
      <c r="C7" s="494">
        <v>222467110</v>
      </c>
      <c r="D7" s="494"/>
      <c r="E7" s="495"/>
      <c r="F7" s="6"/>
      <c r="K7" s="7"/>
      <c r="L7" s="3"/>
      <c r="M7" s="3"/>
      <c r="O7" s="253"/>
      <c r="R7" s="5"/>
    </row>
    <row r="8" spans="1:21" s="4" customFormat="1" ht="34.5" customHeight="1">
      <c r="A8" s="468" t="s">
        <v>17</v>
      </c>
      <c r="B8" s="469"/>
      <c r="C8" s="483">
        <f>G113</f>
        <v>222041536.85299999</v>
      </c>
      <c r="D8" s="483"/>
      <c r="E8" s="484"/>
      <c r="F8" s="6"/>
      <c r="K8" s="7"/>
      <c r="L8" s="3"/>
      <c r="M8" s="3"/>
      <c r="O8" s="253"/>
      <c r="R8" s="5"/>
    </row>
    <row r="9" spans="1:21" s="4" customFormat="1" ht="24.95" customHeight="1">
      <c r="A9" s="456" t="s">
        <v>33</v>
      </c>
      <c r="B9" s="457"/>
      <c r="C9" s="483">
        <v>802659.81</v>
      </c>
      <c r="D9" s="483"/>
      <c r="E9" s="484"/>
      <c r="F9" s="6"/>
      <c r="K9" s="7"/>
      <c r="L9" s="3"/>
      <c r="M9" s="3"/>
      <c r="O9" s="253"/>
      <c r="R9" s="5"/>
    </row>
    <row r="10" spans="1:21" s="4" customFormat="1" ht="24.95" customHeight="1">
      <c r="A10" s="456" t="s">
        <v>0</v>
      </c>
      <c r="B10" s="457"/>
      <c r="C10" s="483">
        <f>I113</f>
        <v>222041536.85299999</v>
      </c>
      <c r="D10" s="483"/>
      <c r="E10" s="484"/>
      <c r="F10" s="6"/>
      <c r="K10" s="7"/>
      <c r="L10" s="3"/>
      <c r="M10" s="3"/>
      <c r="O10" s="253"/>
      <c r="R10" s="5"/>
    </row>
    <row r="11" spans="1:21" s="4" customFormat="1" ht="24.95" customHeight="1" thickBot="1">
      <c r="A11" s="460" t="s">
        <v>1</v>
      </c>
      <c r="B11" s="461"/>
      <c r="C11" s="462">
        <f>C7+C9-C10</f>
        <v>1228232.9570000172</v>
      </c>
      <c r="D11" s="462"/>
      <c r="E11" s="463"/>
      <c r="F11" s="14"/>
      <c r="G11" s="6"/>
      <c r="H11" s="6"/>
      <c r="I11" s="6"/>
      <c r="K11" s="7"/>
      <c r="L11" s="3"/>
      <c r="M11" s="3"/>
      <c r="O11" s="253"/>
      <c r="R11" s="5"/>
    </row>
    <row r="13" spans="1:21" ht="15.75" customHeight="1" thickBot="1">
      <c r="L13" s="18"/>
      <c r="M13" s="18"/>
      <c r="O13"/>
      <c r="P13" s="1"/>
    </row>
    <row r="14" spans="1:21" ht="17.25" thickTop="1" thickBot="1">
      <c r="A14" s="19"/>
      <c r="B14" s="19"/>
      <c r="C14" s="19"/>
      <c r="D14" s="19"/>
      <c r="E14" s="19"/>
      <c r="F14" s="19"/>
      <c r="G14" s="242" t="s">
        <v>2</v>
      </c>
      <c r="H14" s="243"/>
      <c r="I14" s="244" t="s">
        <v>3</v>
      </c>
      <c r="J14" s="243"/>
      <c r="K14" s="245" t="s">
        <v>4</v>
      </c>
      <c r="L14" s="246" t="s">
        <v>4</v>
      </c>
      <c r="M14" s="20"/>
      <c r="N14" s="21"/>
      <c r="O14" s="21"/>
      <c r="P14" s="21"/>
      <c r="Q14" s="21"/>
      <c r="R14" s="21"/>
      <c r="S14" s="22"/>
      <c r="T14" s="496" t="s">
        <v>599</v>
      </c>
      <c r="U14" s="496"/>
    </row>
    <row r="15" spans="1:21" ht="53.25" customHeight="1" thickBot="1">
      <c r="A15" s="298" t="s">
        <v>5</v>
      </c>
      <c r="B15" s="299" t="s">
        <v>6</v>
      </c>
      <c r="C15" s="300" t="s">
        <v>7</v>
      </c>
      <c r="D15" s="342" t="s">
        <v>23</v>
      </c>
      <c r="E15" s="298" t="s">
        <v>24</v>
      </c>
      <c r="F15" s="299" t="s">
        <v>8</v>
      </c>
      <c r="G15" s="351" t="s">
        <v>9</v>
      </c>
      <c r="H15" s="382" t="s">
        <v>25</v>
      </c>
      <c r="I15" s="384" t="s">
        <v>9</v>
      </c>
      <c r="J15" s="343" t="s">
        <v>25</v>
      </c>
      <c r="K15" s="341" t="s">
        <v>9</v>
      </c>
      <c r="L15" s="385" t="s">
        <v>22</v>
      </c>
      <c r="M15" s="299" t="s">
        <v>10</v>
      </c>
      <c r="N15" s="299" t="s">
        <v>26</v>
      </c>
      <c r="O15" s="299" t="s">
        <v>27</v>
      </c>
      <c r="P15" s="498" t="s">
        <v>11</v>
      </c>
      <c r="Q15" s="498"/>
      <c r="R15" s="299" t="s">
        <v>12</v>
      </c>
      <c r="S15" s="299" t="s">
        <v>28</v>
      </c>
      <c r="T15" s="299" t="s">
        <v>13</v>
      </c>
      <c r="U15" s="300" t="s">
        <v>14</v>
      </c>
    </row>
    <row r="16" spans="1:21" s="5" customFormat="1" ht="104.25" customHeight="1">
      <c r="A16" s="344" t="s">
        <v>19</v>
      </c>
      <c r="B16" s="381">
        <v>44295</v>
      </c>
      <c r="C16" s="377" t="s">
        <v>600</v>
      </c>
      <c r="D16" s="352" t="s">
        <v>29</v>
      </c>
      <c r="E16" s="379" t="s">
        <v>41</v>
      </c>
      <c r="F16" s="376" t="s">
        <v>741</v>
      </c>
      <c r="G16" s="380">
        <f>I16</f>
        <v>3100757.88</v>
      </c>
      <c r="H16" s="387"/>
      <c r="I16" s="380">
        <f>1357066.77+556664.56+786955.05+400071.5</f>
        <v>3100757.88</v>
      </c>
      <c r="J16" s="386">
        <v>0</v>
      </c>
      <c r="K16" s="23">
        <f t="shared" ref="K16:K111" si="0">G16-I16</f>
        <v>0</v>
      </c>
      <c r="L16" s="388">
        <f>G16-I16</f>
        <v>0</v>
      </c>
      <c r="M16" s="273" t="s">
        <v>30</v>
      </c>
      <c r="N16" s="347">
        <f t="shared" ref="N16:N111" si="1">I16/G16</f>
        <v>1</v>
      </c>
      <c r="O16" s="347">
        <v>1</v>
      </c>
      <c r="P16" s="348" t="s">
        <v>20</v>
      </c>
      <c r="Q16" s="276">
        <v>118</v>
      </c>
      <c r="R16" s="349" t="s">
        <v>35</v>
      </c>
      <c r="S16" s="396" t="s">
        <v>209</v>
      </c>
      <c r="T16" s="396" t="s">
        <v>214</v>
      </c>
      <c r="U16" s="397" t="s">
        <v>287</v>
      </c>
    </row>
    <row r="17" spans="1:21" s="5" customFormat="1" ht="89.1" customHeight="1">
      <c r="A17" s="332" t="s">
        <v>19</v>
      </c>
      <c r="B17" s="378">
        <v>44292</v>
      </c>
      <c r="C17" s="15" t="s">
        <v>601</v>
      </c>
      <c r="D17" s="352" t="s">
        <v>29</v>
      </c>
      <c r="E17" s="47" t="s">
        <v>34</v>
      </c>
      <c r="F17" s="48" t="s">
        <v>742</v>
      </c>
      <c r="G17" s="11">
        <f>I17</f>
        <v>2893361.2199999997</v>
      </c>
      <c r="H17" s="387"/>
      <c r="I17" s="11">
        <f>1667608.14+1129571.2+96181.88</f>
        <v>2893361.2199999997</v>
      </c>
      <c r="J17" s="386">
        <v>0</v>
      </c>
      <c r="K17" s="23">
        <f t="shared" si="0"/>
        <v>0</v>
      </c>
      <c r="L17" s="23">
        <f>G17-I17</f>
        <v>0</v>
      </c>
      <c r="M17" s="12" t="s">
        <v>30</v>
      </c>
      <c r="N17" s="251">
        <f t="shared" si="1"/>
        <v>1</v>
      </c>
      <c r="O17" s="251">
        <v>1</v>
      </c>
      <c r="P17" s="49" t="s">
        <v>20</v>
      </c>
      <c r="Q17" s="13">
        <v>4130</v>
      </c>
      <c r="R17" s="50" t="s">
        <v>35</v>
      </c>
      <c r="S17" s="398" t="s">
        <v>209</v>
      </c>
      <c r="T17" s="398" t="s">
        <v>210</v>
      </c>
      <c r="U17" s="399" t="s">
        <v>211</v>
      </c>
    </row>
    <row r="18" spans="1:21" s="5" customFormat="1" ht="89.1" customHeight="1">
      <c r="A18" s="332" t="s">
        <v>19</v>
      </c>
      <c r="B18" s="378">
        <v>44292</v>
      </c>
      <c r="C18" s="15" t="s">
        <v>602</v>
      </c>
      <c r="D18" s="352" t="s">
        <v>29</v>
      </c>
      <c r="E18" s="47" t="s">
        <v>36</v>
      </c>
      <c r="F18" s="48" t="s">
        <v>743</v>
      </c>
      <c r="G18" s="11">
        <f t="shared" ref="G18:G81" si="2">I18</f>
        <v>1483240.0199999998</v>
      </c>
      <c r="H18" s="387"/>
      <c r="I18" s="11">
        <f>1337749.16+15243.66+130247.2</f>
        <v>1483240.0199999998</v>
      </c>
      <c r="J18" s="386">
        <v>0</v>
      </c>
      <c r="K18" s="23">
        <f t="shared" si="0"/>
        <v>0</v>
      </c>
      <c r="L18" s="23">
        <f>G18-I18</f>
        <v>0</v>
      </c>
      <c r="M18" s="12" t="s">
        <v>30</v>
      </c>
      <c r="N18" s="251">
        <f t="shared" si="1"/>
        <v>1</v>
      </c>
      <c r="O18" s="251">
        <v>1</v>
      </c>
      <c r="P18" s="49" t="s">
        <v>20</v>
      </c>
      <c r="Q18" s="13">
        <v>3057.48</v>
      </c>
      <c r="R18" s="50" t="s">
        <v>35</v>
      </c>
      <c r="S18" s="398" t="s">
        <v>209</v>
      </c>
      <c r="T18" s="398" t="s">
        <v>212</v>
      </c>
      <c r="U18" s="399" t="s">
        <v>213</v>
      </c>
    </row>
    <row r="19" spans="1:21" s="5" customFormat="1" ht="89.1" customHeight="1">
      <c r="A19" s="332" t="s">
        <v>19</v>
      </c>
      <c r="B19" s="378">
        <v>44292</v>
      </c>
      <c r="C19" s="15" t="s">
        <v>603</v>
      </c>
      <c r="D19" s="352"/>
      <c r="E19" s="47" t="s">
        <v>37</v>
      </c>
      <c r="F19" s="48" t="s">
        <v>744</v>
      </c>
      <c r="G19" s="11">
        <f t="shared" si="2"/>
        <v>2400190.3400000003</v>
      </c>
      <c r="H19" s="387"/>
      <c r="I19" s="11">
        <f>1200118.75+1087049.99+113021.6</f>
        <v>2400190.3400000003</v>
      </c>
      <c r="J19" s="386"/>
      <c r="K19" s="23">
        <f t="shared" si="0"/>
        <v>0</v>
      </c>
      <c r="L19" s="23"/>
      <c r="M19" s="12" t="s">
        <v>30</v>
      </c>
      <c r="N19" s="251">
        <f t="shared" si="1"/>
        <v>1</v>
      </c>
      <c r="O19" s="251">
        <v>1</v>
      </c>
      <c r="P19" s="49" t="s">
        <v>20</v>
      </c>
      <c r="Q19" s="13">
        <v>3143.56</v>
      </c>
      <c r="R19" s="50" t="s">
        <v>35</v>
      </c>
      <c r="S19" s="398" t="s">
        <v>410</v>
      </c>
      <c r="T19" s="398" t="s">
        <v>82</v>
      </c>
      <c r="U19" s="399" t="s">
        <v>83</v>
      </c>
    </row>
    <row r="20" spans="1:21" s="5" customFormat="1" ht="89.1" customHeight="1">
      <c r="A20" s="332" t="s">
        <v>19</v>
      </c>
      <c r="B20" s="378">
        <v>44292</v>
      </c>
      <c r="C20" s="15" t="s">
        <v>604</v>
      </c>
      <c r="D20" s="352"/>
      <c r="E20" s="47" t="s">
        <v>38</v>
      </c>
      <c r="F20" s="48" t="s">
        <v>745</v>
      </c>
      <c r="G20" s="11">
        <f t="shared" si="2"/>
        <v>2373439.1</v>
      </c>
      <c r="H20" s="387"/>
      <c r="I20" s="11">
        <f>1195961.28+597131.66+580346.16</f>
        <v>2373439.1</v>
      </c>
      <c r="J20" s="386"/>
      <c r="K20" s="23">
        <f t="shared" si="0"/>
        <v>0</v>
      </c>
      <c r="L20" s="23"/>
      <c r="M20" s="12" t="s">
        <v>30</v>
      </c>
      <c r="N20" s="251">
        <f t="shared" si="1"/>
        <v>1</v>
      </c>
      <c r="O20" s="251">
        <v>1</v>
      </c>
      <c r="P20" s="49" t="s">
        <v>20</v>
      </c>
      <c r="Q20" s="13">
        <v>3330.94</v>
      </c>
      <c r="R20" s="50" t="s">
        <v>35</v>
      </c>
      <c r="S20" s="398" t="s">
        <v>209</v>
      </c>
      <c r="T20" s="398" t="s">
        <v>214</v>
      </c>
      <c r="U20" s="399" t="s">
        <v>215</v>
      </c>
    </row>
    <row r="21" spans="1:21" s="5" customFormat="1" ht="89.1" customHeight="1">
      <c r="A21" s="332" t="s">
        <v>19</v>
      </c>
      <c r="B21" s="378">
        <v>44369</v>
      </c>
      <c r="C21" s="15" t="s">
        <v>605</v>
      </c>
      <c r="D21" s="352"/>
      <c r="E21" s="47" t="s">
        <v>54</v>
      </c>
      <c r="F21" s="48" t="s">
        <v>746</v>
      </c>
      <c r="G21" s="11">
        <f t="shared" si="2"/>
        <v>517444.93999999994</v>
      </c>
      <c r="H21" s="387"/>
      <c r="I21" s="11">
        <f>155233.49+207569.22+143349.34+11292.89</f>
        <v>517444.93999999994</v>
      </c>
      <c r="J21" s="386"/>
      <c r="K21" s="23">
        <f t="shared" si="0"/>
        <v>0</v>
      </c>
      <c r="L21" s="23"/>
      <c r="M21" s="12" t="s">
        <v>30</v>
      </c>
      <c r="N21" s="251">
        <f t="shared" si="1"/>
        <v>1</v>
      </c>
      <c r="O21" s="251">
        <v>1</v>
      </c>
      <c r="P21" s="49" t="s">
        <v>58</v>
      </c>
      <c r="Q21" s="13">
        <v>1</v>
      </c>
      <c r="R21" s="50" t="s">
        <v>59</v>
      </c>
      <c r="S21" s="398" t="s">
        <v>226</v>
      </c>
      <c r="T21" s="398" t="s">
        <v>306</v>
      </c>
      <c r="U21" s="399" t="s">
        <v>307</v>
      </c>
    </row>
    <row r="22" spans="1:21" s="5" customFormat="1" ht="89.1" customHeight="1">
      <c r="A22" s="332" t="s">
        <v>19</v>
      </c>
      <c r="B22" s="378">
        <v>44308</v>
      </c>
      <c r="C22" s="15" t="s">
        <v>606</v>
      </c>
      <c r="D22" s="352"/>
      <c r="E22" s="47" t="s">
        <v>55</v>
      </c>
      <c r="F22" s="48" t="s">
        <v>747</v>
      </c>
      <c r="G22" s="11">
        <f t="shared" si="2"/>
        <v>2318140.92</v>
      </c>
      <c r="H22" s="387"/>
      <c r="I22" s="11">
        <f>1176794.66+480360.54+22583.49+257700.83+380701.4</f>
        <v>2318140.92</v>
      </c>
      <c r="J22" s="386"/>
      <c r="K22" s="23">
        <f t="shared" si="0"/>
        <v>0</v>
      </c>
      <c r="L22" s="23"/>
      <c r="M22" s="12" t="s">
        <v>30</v>
      </c>
      <c r="N22" s="251">
        <f t="shared" si="1"/>
        <v>1</v>
      </c>
      <c r="O22" s="251">
        <v>1</v>
      </c>
      <c r="P22" s="49" t="s">
        <v>20</v>
      </c>
      <c r="Q22" s="13">
        <v>3260.57</v>
      </c>
      <c r="R22" s="50" t="s">
        <v>35</v>
      </c>
      <c r="S22" s="398" t="s">
        <v>81</v>
      </c>
      <c r="T22" s="398" t="s">
        <v>216</v>
      </c>
      <c r="U22" s="399" t="s">
        <v>217</v>
      </c>
    </row>
    <row r="23" spans="1:21" s="5" customFormat="1" ht="89.1" customHeight="1">
      <c r="A23" s="332" t="s">
        <v>19</v>
      </c>
      <c r="B23" s="378">
        <v>44308</v>
      </c>
      <c r="C23" s="15" t="s">
        <v>607</v>
      </c>
      <c r="D23" s="352"/>
      <c r="E23" s="47" t="s">
        <v>56</v>
      </c>
      <c r="F23" s="48" t="s">
        <v>748</v>
      </c>
      <c r="G23" s="11">
        <f t="shared" si="2"/>
        <v>2430941.34</v>
      </c>
      <c r="H23" s="387"/>
      <c r="I23" s="11">
        <f>1215470.69+643613.39+103163.42+468693.84</f>
        <v>2430941.34</v>
      </c>
      <c r="J23" s="386"/>
      <c r="K23" s="23">
        <f t="shared" si="0"/>
        <v>0</v>
      </c>
      <c r="L23" s="23"/>
      <c r="M23" s="12" t="s">
        <v>30</v>
      </c>
      <c r="N23" s="251">
        <f t="shared" si="1"/>
        <v>1</v>
      </c>
      <c r="O23" s="251">
        <v>1</v>
      </c>
      <c r="P23" s="49" t="s">
        <v>20</v>
      </c>
      <c r="Q23" s="13">
        <v>3145.77</v>
      </c>
      <c r="R23" s="50" t="s">
        <v>35</v>
      </c>
      <c r="S23" s="398" t="s">
        <v>81</v>
      </c>
      <c r="T23" s="398" t="s">
        <v>218</v>
      </c>
      <c r="U23" s="399" t="s">
        <v>219</v>
      </c>
    </row>
    <row r="24" spans="1:21" s="5" customFormat="1" ht="89.1" customHeight="1">
      <c r="A24" s="332" t="s">
        <v>19</v>
      </c>
      <c r="B24" s="378">
        <v>44308</v>
      </c>
      <c r="C24" s="15" t="s">
        <v>608</v>
      </c>
      <c r="D24" s="352"/>
      <c r="E24" s="47" t="s">
        <v>57</v>
      </c>
      <c r="F24" s="48" t="s">
        <v>749</v>
      </c>
      <c r="G24" s="11">
        <f t="shared" si="2"/>
        <v>6615802.2400000002</v>
      </c>
      <c r="H24" s="387"/>
      <c r="I24" s="11">
        <f>3035507.23+791366.38+1236948.39+1371020.11+180960.13</f>
        <v>6615802.2400000002</v>
      </c>
      <c r="J24" s="386"/>
      <c r="K24" s="23">
        <f t="shared" si="0"/>
        <v>0</v>
      </c>
      <c r="L24" s="23"/>
      <c r="M24" s="12" t="s">
        <v>30</v>
      </c>
      <c r="N24" s="251">
        <f t="shared" si="1"/>
        <v>1</v>
      </c>
      <c r="O24" s="251">
        <v>1</v>
      </c>
      <c r="P24" s="49" t="s">
        <v>20</v>
      </c>
      <c r="Q24" s="13">
        <v>5754.74</v>
      </c>
      <c r="R24" s="50" t="s">
        <v>60</v>
      </c>
      <c r="S24" s="398" t="s">
        <v>410</v>
      </c>
      <c r="T24" s="398" t="s">
        <v>218</v>
      </c>
      <c r="U24" s="399" t="s">
        <v>288</v>
      </c>
    </row>
    <row r="25" spans="1:21" s="5" customFormat="1" ht="89.1" customHeight="1">
      <c r="A25" s="332" t="s">
        <v>19</v>
      </c>
      <c r="B25" s="378">
        <v>44308</v>
      </c>
      <c r="C25" s="15" t="s">
        <v>609</v>
      </c>
      <c r="D25" s="352"/>
      <c r="E25" s="47" t="s">
        <v>62</v>
      </c>
      <c r="F25" s="48" t="s">
        <v>750</v>
      </c>
      <c r="G25" s="11">
        <f t="shared" si="2"/>
        <v>5022000.67</v>
      </c>
      <c r="H25" s="387"/>
      <c r="I25" s="11">
        <f>2665447.91+1077096.31+1077425.46+202030.99</f>
        <v>5022000.67</v>
      </c>
      <c r="J25" s="386"/>
      <c r="K25" s="23">
        <f t="shared" si="0"/>
        <v>0</v>
      </c>
      <c r="L25" s="23"/>
      <c r="M25" s="12" t="s">
        <v>30</v>
      </c>
      <c r="N25" s="251">
        <f t="shared" si="1"/>
        <v>1</v>
      </c>
      <c r="O25" s="251">
        <v>1</v>
      </c>
      <c r="P25" s="49" t="s">
        <v>20</v>
      </c>
      <c r="Q25" s="13">
        <v>5199.2</v>
      </c>
      <c r="R25" s="50" t="s">
        <v>61</v>
      </c>
      <c r="S25" s="398" t="s">
        <v>209</v>
      </c>
      <c r="T25" s="398" t="s">
        <v>256</v>
      </c>
      <c r="U25" s="399" t="s">
        <v>289</v>
      </c>
    </row>
    <row r="26" spans="1:21" s="5" customFormat="1" ht="89.1" customHeight="1">
      <c r="A26" s="332" t="s">
        <v>19</v>
      </c>
      <c r="B26" s="378">
        <v>44308</v>
      </c>
      <c r="C26" s="15" t="s">
        <v>610</v>
      </c>
      <c r="D26" s="352"/>
      <c r="E26" s="47" t="s">
        <v>63</v>
      </c>
      <c r="F26" s="48" t="s">
        <v>751</v>
      </c>
      <c r="G26" s="11">
        <f t="shared" si="2"/>
        <v>5095494.74</v>
      </c>
      <c r="H26" s="387"/>
      <c r="I26" s="11">
        <f>2609605.56+1282901.71+1002362.81+200624.66</f>
        <v>5095494.74</v>
      </c>
      <c r="J26" s="386"/>
      <c r="K26" s="23">
        <f t="shared" si="0"/>
        <v>0</v>
      </c>
      <c r="L26" s="23"/>
      <c r="M26" s="12" t="s">
        <v>30</v>
      </c>
      <c r="N26" s="251">
        <f t="shared" si="1"/>
        <v>1</v>
      </c>
      <c r="O26" s="251">
        <v>1</v>
      </c>
      <c r="P26" s="49" t="s">
        <v>20</v>
      </c>
      <c r="Q26" s="13">
        <v>5315.95</v>
      </c>
      <c r="R26" s="50" t="s">
        <v>61</v>
      </c>
      <c r="S26" s="398" t="s">
        <v>209</v>
      </c>
      <c r="T26" s="398" t="s">
        <v>257</v>
      </c>
      <c r="U26" s="399" t="s">
        <v>290</v>
      </c>
    </row>
    <row r="27" spans="1:21" s="5" customFormat="1" ht="89.1" customHeight="1">
      <c r="A27" s="332" t="s">
        <v>19</v>
      </c>
      <c r="B27" s="378">
        <v>44308</v>
      </c>
      <c r="C27" s="15" t="s">
        <v>611</v>
      </c>
      <c r="D27" s="352"/>
      <c r="E27" s="47" t="s">
        <v>64</v>
      </c>
      <c r="F27" s="48" t="s">
        <v>752</v>
      </c>
      <c r="G27" s="11">
        <f t="shared" si="2"/>
        <v>2280744.7400000002</v>
      </c>
      <c r="H27" s="387"/>
      <c r="I27" s="11">
        <f>684223.42+15176.38+39807.42+126910.5+161068.2+258005.24+923303.23+46831.33+25419.02</f>
        <v>2280744.7400000002</v>
      </c>
      <c r="J27" s="386"/>
      <c r="K27" s="23">
        <f t="shared" si="0"/>
        <v>0</v>
      </c>
      <c r="L27" s="23"/>
      <c r="M27" s="12" t="s">
        <v>30</v>
      </c>
      <c r="N27" s="251">
        <f t="shared" si="1"/>
        <v>1</v>
      </c>
      <c r="O27" s="251">
        <v>1</v>
      </c>
      <c r="P27" s="49" t="s">
        <v>58</v>
      </c>
      <c r="Q27" s="13">
        <v>1</v>
      </c>
      <c r="R27" s="50" t="s">
        <v>65</v>
      </c>
      <c r="S27" s="398" t="s">
        <v>410</v>
      </c>
      <c r="T27" s="398" t="s">
        <v>220</v>
      </c>
      <c r="U27" s="399" t="s">
        <v>221</v>
      </c>
    </row>
    <row r="28" spans="1:21" s="5" customFormat="1" ht="89.1" customHeight="1">
      <c r="A28" s="332" t="s">
        <v>19</v>
      </c>
      <c r="B28" s="378">
        <v>44308</v>
      </c>
      <c r="C28" s="15" t="s">
        <v>612</v>
      </c>
      <c r="D28" s="352"/>
      <c r="E28" s="47" t="s">
        <v>66</v>
      </c>
      <c r="F28" s="48" t="s">
        <v>753</v>
      </c>
      <c r="G28" s="11">
        <f t="shared" si="2"/>
        <v>1473504.82</v>
      </c>
      <c r="H28" s="387"/>
      <c r="I28" s="11">
        <f>442051.45+267906.85+510434.43+112918.33+122024.15+18169.61</f>
        <v>1473504.82</v>
      </c>
      <c r="J28" s="386"/>
      <c r="K28" s="23">
        <f t="shared" si="0"/>
        <v>0</v>
      </c>
      <c r="L28" s="23"/>
      <c r="M28" s="12" t="s">
        <v>30</v>
      </c>
      <c r="N28" s="251">
        <f t="shared" si="1"/>
        <v>1</v>
      </c>
      <c r="O28" s="251">
        <v>1</v>
      </c>
      <c r="P28" s="49" t="s">
        <v>58</v>
      </c>
      <c r="Q28" s="13">
        <v>1</v>
      </c>
      <c r="R28" s="50" t="s">
        <v>65</v>
      </c>
      <c r="S28" s="398" t="s">
        <v>410</v>
      </c>
      <c r="T28" s="398" t="s">
        <v>222</v>
      </c>
      <c r="U28" s="399" t="s">
        <v>223</v>
      </c>
    </row>
    <row r="29" spans="1:21" s="5" customFormat="1" ht="89.1" customHeight="1">
      <c r="A29" s="332" t="s">
        <v>19</v>
      </c>
      <c r="B29" s="378">
        <v>44308</v>
      </c>
      <c r="C29" s="15" t="s">
        <v>613</v>
      </c>
      <c r="D29" s="352"/>
      <c r="E29" s="47" t="s">
        <v>67</v>
      </c>
      <c r="F29" s="48" t="s">
        <v>614</v>
      </c>
      <c r="G29" s="11">
        <f t="shared" si="2"/>
        <v>1458151.89</v>
      </c>
      <c r="H29" s="387"/>
      <c r="I29" s="11">
        <f>437445.57+259266.6+573981.21+123047.26+48326.68+16084.57</f>
        <v>1458151.89</v>
      </c>
      <c r="J29" s="386"/>
      <c r="K29" s="23">
        <f t="shared" si="0"/>
        <v>0</v>
      </c>
      <c r="L29" s="23"/>
      <c r="M29" s="12" t="s">
        <v>30</v>
      </c>
      <c r="N29" s="251">
        <f t="shared" si="1"/>
        <v>1</v>
      </c>
      <c r="O29" s="251">
        <v>1</v>
      </c>
      <c r="P29" s="49" t="s">
        <v>58</v>
      </c>
      <c r="Q29" s="13">
        <v>1</v>
      </c>
      <c r="R29" s="50" t="s">
        <v>65</v>
      </c>
      <c r="S29" s="398" t="s">
        <v>410</v>
      </c>
      <c r="T29" s="398" t="s">
        <v>258</v>
      </c>
      <c r="U29" s="399" t="s">
        <v>291</v>
      </c>
    </row>
    <row r="30" spans="1:21" s="5" customFormat="1" ht="89.1" customHeight="1">
      <c r="A30" s="332" t="s">
        <v>19</v>
      </c>
      <c r="B30" s="378">
        <v>44308</v>
      </c>
      <c r="C30" s="15" t="s">
        <v>615</v>
      </c>
      <c r="D30" s="352"/>
      <c r="E30" s="47" t="s">
        <v>68</v>
      </c>
      <c r="F30" s="48" t="s">
        <v>754</v>
      </c>
      <c r="G30" s="11">
        <f t="shared" si="2"/>
        <v>1455502.8799999997</v>
      </c>
      <c r="H30" s="387"/>
      <c r="I30" s="11">
        <f>436650.86+95003.58+687994.17+112107.63+70991.45+52755.19</f>
        <v>1455502.8799999997</v>
      </c>
      <c r="J30" s="386"/>
      <c r="K30" s="23">
        <f t="shared" si="0"/>
        <v>0</v>
      </c>
      <c r="L30" s="23"/>
      <c r="M30" s="12" t="s">
        <v>30</v>
      </c>
      <c r="N30" s="251">
        <f t="shared" si="1"/>
        <v>1</v>
      </c>
      <c r="O30" s="251">
        <v>1</v>
      </c>
      <c r="P30" s="49" t="s">
        <v>58</v>
      </c>
      <c r="Q30" s="13">
        <v>1</v>
      </c>
      <c r="R30" s="50" t="s">
        <v>65</v>
      </c>
      <c r="S30" s="398" t="s">
        <v>226</v>
      </c>
      <c r="T30" s="398" t="s">
        <v>259</v>
      </c>
      <c r="U30" s="399" t="s">
        <v>292</v>
      </c>
    </row>
    <row r="31" spans="1:21" s="5" customFormat="1" ht="89.1" customHeight="1">
      <c r="A31" s="332" t="s">
        <v>19</v>
      </c>
      <c r="B31" s="378" t="s">
        <v>69</v>
      </c>
      <c r="C31" s="15" t="s">
        <v>616</v>
      </c>
      <c r="D31" s="352"/>
      <c r="E31" s="47" t="s">
        <v>70</v>
      </c>
      <c r="F31" s="48" t="s">
        <v>755</v>
      </c>
      <c r="G31" s="11">
        <f t="shared" si="2"/>
        <v>1520455.53</v>
      </c>
      <c r="H31" s="387"/>
      <c r="I31" s="11">
        <f>456136.66+257906.15+513024.7+174087.66+99421.57+19878.79</f>
        <v>1520455.53</v>
      </c>
      <c r="J31" s="386"/>
      <c r="K31" s="23">
        <f t="shared" si="0"/>
        <v>0</v>
      </c>
      <c r="L31" s="23"/>
      <c r="M31" s="12" t="s">
        <v>30</v>
      </c>
      <c r="N31" s="251">
        <f t="shared" si="1"/>
        <v>1</v>
      </c>
      <c r="O31" s="251">
        <v>1</v>
      </c>
      <c r="P31" s="49" t="s">
        <v>58</v>
      </c>
      <c r="Q31" s="13">
        <v>1</v>
      </c>
      <c r="R31" s="50" t="s">
        <v>65</v>
      </c>
      <c r="S31" s="398" t="s">
        <v>81</v>
      </c>
      <c r="T31" s="398" t="s">
        <v>260</v>
      </c>
      <c r="U31" s="399" t="s">
        <v>293</v>
      </c>
    </row>
    <row r="32" spans="1:21" s="5" customFormat="1" ht="89.1" customHeight="1">
      <c r="A32" s="332" t="s">
        <v>19</v>
      </c>
      <c r="B32" s="378">
        <v>44308</v>
      </c>
      <c r="C32" s="15" t="s">
        <v>617</v>
      </c>
      <c r="D32" s="352"/>
      <c r="E32" s="47" t="s">
        <v>71</v>
      </c>
      <c r="F32" s="48" t="s">
        <v>756</v>
      </c>
      <c r="G32" s="11">
        <f t="shared" si="2"/>
        <v>1299825.9000000001</v>
      </c>
      <c r="H32" s="387"/>
      <c r="I32" s="11">
        <f>389947.77+256861.57+503940.81+102614.91+22180.56+24280.28</f>
        <v>1299825.9000000001</v>
      </c>
      <c r="J32" s="386"/>
      <c r="K32" s="23">
        <f t="shared" si="0"/>
        <v>0</v>
      </c>
      <c r="L32" s="23"/>
      <c r="M32" s="12" t="s">
        <v>30</v>
      </c>
      <c r="N32" s="251">
        <f t="shared" si="1"/>
        <v>1</v>
      </c>
      <c r="O32" s="251">
        <v>1</v>
      </c>
      <c r="P32" s="49" t="s">
        <v>58</v>
      </c>
      <c r="Q32" s="13">
        <v>1</v>
      </c>
      <c r="R32" s="50" t="s">
        <v>65</v>
      </c>
      <c r="S32" s="398" t="s">
        <v>410</v>
      </c>
      <c r="T32" s="398" t="s">
        <v>224</v>
      </c>
      <c r="U32" s="399" t="s">
        <v>225</v>
      </c>
    </row>
    <row r="33" spans="1:21" s="5" customFormat="1" ht="89.1" customHeight="1">
      <c r="A33" s="332" t="s">
        <v>19</v>
      </c>
      <c r="B33" s="378">
        <v>44308</v>
      </c>
      <c r="C33" s="15" t="s">
        <v>618</v>
      </c>
      <c r="D33" s="352"/>
      <c r="E33" s="47" t="s">
        <v>72</v>
      </c>
      <c r="F33" s="48" t="s">
        <v>757</v>
      </c>
      <c r="G33" s="11">
        <f t="shared" si="2"/>
        <v>534556.82999999996</v>
      </c>
      <c r="H33" s="387"/>
      <c r="I33" s="11">
        <f>162264.2+49082.81+274700.86+48508.96</f>
        <v>534556.82999999996</v>
      </c>
      <c r="J33" s="386"/>
      <c r="K33" s="23">
        <f t="shared" si="0"/>
        <v>0</v>
      </c>
      <c r="L33" s="23"/>
      <c r="M33" s="12" t="s">
        <v>30</v>
      </c>
      <c r="N33" s="251">
        <f t="shared" si="1"/>
        <v>1</v>
      </c>
      <c r="O33" s="251">
        <v>1</v>
      </c>
      <c r="P33" s="49" t="s">
        <v>58</v>
      </c>
      <c r="Q33" s="13">
        <v>1</v>
      </c>
      <c r="R33" s="50" t="s">
        <v>73</v>
      </c>
      <c r="S33" s="398" t="s">
        <v>226</v>
      </c>
      <c r="T33" s="398" t="s">
        <v>354</v>
      </c>
      <c r="U33" s="399" t="s">
        <v>355</v>
      </c>
    </row>
    <row r="34" spans="1:21" s="5" customFormat="1" ht="89.1" customHeight="1">
      <c r="A34" s="332" t="s">
        <v>19</v>
      </c>
      <c r="B34" s="378">
        <v>44308</v>
      </c>
      <c r="C34" s="15" t="s">
        <v>619</v>
      </c>
      <c r="D34" s="352"/>
      <c r="E34" s="47" t="s">
        <v>74</v>
      </c>
      <c r="F34" s="48" t="s">
        <v>758</v>
      </c>
      <c r="G34" s="11">
        <f t="shared" si="2"/>
        <v>1227308.27</v>
      </c>
      <c r="H34" s="387"/>
      <c r="I34" s="11">
        <f>583797.11+354746.11+144204.85+126428.81+18131.39</f>
        <v>1227308.27</v>
      </c>
      <c r="J34" s="386"/>
      <c r="K34" s="23">
        <f t="shared" si="0"/>
        <v>0</v>
      </c>
      <c r="L34" s="23"/>
      <c r="M34" s="12" t="s">
        <v>30</v>
      </c>
      <c r="N34" s="251">
        <f t="shared" si="1"/>
        <v>1</v>
      </c>
      <c r="O34" s="251">
        <v>1</v>
      </c>
      <c r="P34" s="49" t="s">
        <v>58</v>
      </c>
      <c r="Q34" s="13">
        <v>1</v>
      </c>
      <c r="R34" s="50" t="s">
        <v>59</v>
      </c>
      <c r="S34" s="398" t="s">
        <v>410</v>
      </c>
      <c r="T34" s="398" t="s">
        <v>261</v>
      </c>
      <c r="U34" s="399" t="s">
        <v>294</v>
      </c>
    </row>
    <row r="35" spans="1:21" s="5" customFormat="1" ht="89.1" customHeight="1">
      <c r="A35" s="332" t="s">
        <v>19</v>
      </c>
      <c r="B35" s="378">
        <v>44308</v>
      </c>
      <c r="C35" s="15" t="s">
        <v>620</v>
      </c>
      <c r="D35" s="352"/>
      <c r="E35" s="47" t="s">
        <v>75</v>
      </c>
      <c r="F35" s="48" t="s">
        <v>759</v>
      </c>
      <c r="G35" s="11">
        <f t="shared" si="2"/>
        <v>1284640.1600000001</v>
      </c>
      <c r="H35" s="387"/>
      <c r="I35" s="11">
        <f>385392.05+255573.98+467574.15+176099.98</f>
        <v>1284640.1600000001</v>
      </c>
      <c r="J35" s="386"/>
      <c r="K35" s="23">
        <f t="shared" si="0"/>
        <v>0</v>
      </c>
      <c r="L35" s="23"/>
      <c r="M35" s="12" t="s">
        <v>30</v>
      </c>
      <c r="N35" s="251">
        <f t="shared" si="1"/>
        <v>1</v>
      </c>
      <c r="O35" s="251">
        <v>1</v>
      </c>
      <c r="P35" s="49" t="s">
        <v>58</v>
      </c>
      <c r="Q35" s="13">
        <v>1</v>
      </c>
      <c r="R35" s="50" t="s">
        <v>59</v>
      </c>
      <c r="S35" s="398" t="s">
        <v>226</v>
      </c>
      <c r="T35" s="398" t="s">
        <v>262</v>
      </c>
      <c r="U35" s="399" t="s">
        <v>295</v>
      </c>
    </row>
    <row r="36" spans="1:21" s="5" customFormat="1" ht="89.1" customHeight="1">
      <c r="A36" s="332" t="s">
        <v>19</v>
      </c>
      <c r="B36" s="378">
        <v>44308</v>
      </c>
      <c r="C36" s="15" t="s">
        <v>621</v>
      </c>
      <c r="D36" s="352"/>
      <c r="E36" s="47" t="s">
        <v>76</v>
      </c>
      <c r="F36" s="48" t="s">
        <v>760</v>
      </c>
      <c r="G36" s="11">
        <f t="shared" si="2"/>
        <v>473968.65</v>
      </c>
      <c r="H36" s="387"/>
      <c r="I36" s="11">
        <f>142190.6+41406.55+46320.77+119576.63+67824.11+56649.99</f>
        <v>473968.65</v>
      </c>
      <c r="J36" s="386"/>
      <c r="K36" s="23">
        <f t="shared" si="0"/>
        <v>0</v>
      </c>
      <c r="L36" s="23"/>
      <c r="M36" s="12" t="s">
        <v>30</v>
      </c>
      <c r="N36" s="251">
        <f t="shared" si="1"/>
        <v>1</v>
      </c>
      <c r="O36" s="251">
        <v>1</v>
      </c>
      <c r="P36" s="49" t="s">
        <v>58</v>
      </c>
      <c r="Q36" s="13">
        <v>1</v>
      </c>
      <c r="R36" s="50" t="s">
        <v>59</v>
      </c>
      <c r="S36" s="398" t="s">
        <v>226</v>
      </c>
      <c r="T36" s="398" t="s">
        <v>227</v>
      </c>
      <c r="U36" s="399" t="s">
        <v>228</v>
      </c>
    </row>
    <row r="37" spans="1:21" s="5" customFormat="1" ht="89.1" customHeight="1">
      <c r="A37" s="332" t="s">
        <v>19</v>
      </c>
      <c r="B37" s="378">
        <v>44308</v>
      </c>
      <c r="C37" s="15" t="s">
        <v>622</v>
      </c>
      <c r="D37" s="352"/>
      <c r="E37" s="47" t="s">
        <v>77</v>
      </c>
      <c r="F37" s="48" t="s">
        <v>761</v>
      </c>
      <c r="G37" s="11">
        <f t="shared" si="2"/>
        <v>2596661.7799999998</v>
      </c>
      <c r="H37" s="387"/>
      <c r="I37" s="11">
        <f>762860.11+224244.69+102186.72+542473.18+561563.13+336993.47+66340.48</f>
        <v>2596661.7799999998</v>
      </c>
      <c r="J37" s="386"/>
      <c r="K37" s="23">
        <f t="shared" si="0"/>
        <v>0</v>
      </c>
      <c r="L37" s="23"/>
      <c r="M37" s="12" t="s">
        <v>30</v>
      </c>
      <c r="N37" s="251">
        <f t="shared" si="1"/>
        <v>1</v>
      </c>
      <c r="O37" s="251">
        <v>1</v>
      </c>
      <c r="P37" s="49" t="s">
        <v>58</v>
      </c>
      <c r="Q37" s="13">
        <v>1</v>
      </c>
      <c r="R37" s="50" t="s">
        <v>65</v>
      </c>
      <c r="S37" s="398" t="s">
        <v>81</v>
      </c>
      <c r="T37" s="398" t="s">
        <v>263</v>
      </c>
      <c r="U37" s="399" t="s">
        <v>296</v>
      </c>
    </row>
    <row r="38" spans="1:21" s="5" customFormat="1" ht="89.1" customHeight="1">
      <c r="A38" s="332" t="s">
        <v>19</v>
      </c>
      <c r="B38" s="378">
        <v>44308</v>
      </c>
      <c r="C38" s="15" t="s">
        <v>623</v>
      </c>
      <c r="D38" s="352"/>
      <c r="E38" s="47" t="s">
        <v>78</v>
      </c>
      <c r="F38" s="48" t="s">
        <v>762</v>
      </c>
      <c r="G38" s="11">
        <f t="shared" si="2"/>
        <v>490427.04000000004</v>
      </c>
      <c r="H38" s="387"/>
      <c r="I38" s="11">
        <f>147128.11+332273.09+3374.57+7651.27</f>
        <v>490427.04000000004</v>
      </c>
      <c r="J38" s="386"/>
      <c r="K38" s="23">
        <f t="shared" si="0"/>
        <v>0</v>
      </c>
      <c r="L38" s="23"/>
      <c r="M38" s="12" t="s">
        <v>30</v>
      </c>
      <c r="N38" s="251">
        <f t="shared" si="1"/>
        <v>1</v>
      </c>
      <c r="O38" s="251">
        <v>1</v>
      </c>
      <c r="P38" s="49" t="s">
        <v>58</v>
      </c>
      <c r="Q38" s="13">
        <v>1</v>
      </c>
      <c r="R38" s="50" t="s">
        <v>65</v>
      </c>
      <c r="S38" s="398" t="s">
        <v>226</v>
      </c>
      <c r="T38" s="398" t="s">
        <v>356</v>
      </c>
      <c r="U38" s="399" t="s">
        <v>357</v>
      </c>
    </row>
    <row r="39" spans="1:21" s="5" customFormat="1" ht="89.1" customHeight="1">
      <c r="A39" s="332" t="s">
        <v>19</v>
      </c>
      <c r="B39" s="378">
        <v>44308</v>
      </c>
      <c r="C39" s="15" t="s">
        <v>624</v>
      </c>
      <c r="D39" s="352"/>
      <c r="E39" s="47" t="s">
        <v>79</v>
      </c>
      <c r="F39" s="48" t="s">
        <v>763</v>
      </c>
      <c r="G39" s="11">
        <f t="shared" si="2"/>
        <v>1177182.01</v>
      </c>
      <c r="H39" s="387"/>
      <c r="I39" s="11">
        <f>353154.6+276440.9+159845.91+353596.84+34143.76</f>
        <v>1177182.01</v>
      </c>
      <c r="J39" s="386"/>
      <c r="K39" s="23">
        <f t="shared" si="0"/>
        <v>0</v>
      </c>
      <c r="L39" s="23"/>
      <c r="M39" s="12" t="s">
        <v>30</v>
      </c>
      <c r="N39" s="251">
        <f t="shared" si="1"/>
        <v>1</v>
      </c>
      <c r="O39" s="251">
        <v>1</v>
      </c>
      <c r="P39" s="49" t="s">
        <v>58</v>
      </c>
      <c r="Q39" s="13">
        <v>1</v>
      </c>
      <c r="R39" s="50" t="s">
        <v>65</v>
      </c>
      <c r="S39" s="398" t="s">
        <v>410</v>
      </c>
      <c r="T39" s="398" t="s">
        <v>264</v>
      </c>
      <c r="U39" s="399" t="s">
        <v>297</v>
      </c>
    </row>
    <row r="40" spans="1:21" s="5" customFormat="1" ht="89.1" customHeight="1">
      <c r="A40" s="332" t="s">
        <v>19</v>
      </c>
      <c r="B40" s="378">
        <v>44308</v>
      </c>
      <c r="C40" s="15" t="s">
        <v>625</v>
      </c>
      <c r="D40" s="352"/>
      <c r="E40" s="47" t="s">
        <v>80</v>
      </c>
      <c r="F40" s="48" t="s">
        <v>764</v>
      </c>
      <c r="G40" s="11">
        <f t="shared" si="2"/>
        <v>991206.47000000009</v>
      </c>
      <c r="H40" s="387"/>
      <c r="I40" s="11">
        <f>297361.94+428779.31+259983.57+5081.65</f>
        <v>991206.47000000009</v>
      </c>
      <c r="J40" s="386"/>
      <c r="K40" s="23">
        <f t="shared" si="0"/>
        <v>0</v>
      </c>
      <c r="L40" s="23"/>
      <c r="M40" s="12" t="s">
        <v>30</v>
      </c>
      <c r="N40" s="251">
        <f t="shared" si="1"/>
        <v>1</v>
      </c>
      <c r="O40" s="251">
        <v>1</v>
      </c>
      <c r="P40" s="49" t="s">
        <v>58</v>
      </c>
      <c r="Q40" s="13">
        <v>1</v>
      </c>
      <c r="R40" s="50" t="s">
        <v>73</v>
      </c>
      <c r="S40" s="398" t="s">
        <v>226</v>
      </c>
      <c r="T40" s="398" t="s">
        <v>229</v>
      </c>
      <c r="U40" s="399" t="s">
        <v>230</v>
      </c>
    </row>
    <row r="41" spans="1:21" s="5" customFormat="1" ht="89.1" customHeight="1">
      <c r="A41" s="332" t="s">
        <v>19</v>
      </c>
      <c r="B41" s="378">
        <v>44322</v>
      </c>
      <c r="C41" s="15" t="s">
        <v>626</v>
      </c>
      <c r="D41" s="352"/>
      <c r="E41" s="47" t="s">
        <v>231</v>
      </c>
      <c r="F41" s="48" t="s">
        <v>765</v>
      </c>
      <c r="G41" s="11">
        <f t="shared" si="2"/>
        <v>437486.63</v>
      </c>
      <c r="H41" s="387"/>
      <c r="I41" s="11">
        <f>131898.24+80208.84+155036.78+70342.77</f>
        <v>437486.63</v>
      </c>
      <c r="J41" s="386"/>
      <c r="K41" s="23">
        <f t="shared" si="0"/>
        <v>0</v>
      </c>
      <c r="L41" s="23"/>
      <c r="M41" s="12" t="s">
        <v>30</v>
      </c>
      <c r="N41" s="251">
        <f t="shared" si="1"/>
        <v>1</v>
      </c>
      <c r="O41" s="251">
        <v>1</v>
      </c>
      <c r="P41" s="49" t="s">
        <v>58</v>
      </c>
      <c r="Q41" s="13">
        <v>1</v>
      </c>
      <c r="R41" s="50" t="s">
        <v>73</v>
      </c>
      <c r="S41" s="398" t="s">
        <v>226</v>
      </c>
      <c r="T41" s="398" t="s">
        <v>358</v>
      </c>
      <c r="U41" s="399" t="s">
        <v>359</v>
      </c>
    </row>
    <row r="42" spans="1:21" s="5" customFormat="1" ht="89.1" customHeight="1">
      <c r="A42" s="332" t="s">
        <v>19</v>
      </c>
      <c r="B42" s="378">
        <v>44320</v>
      </c>
      <c r="C42" s="15" t="s">
        <v>627</v>
      </c>
      <c r="D42" s="352"/>
      <c r="E42" s="47" t="s">
        <v>232</v>
      </c>
      <c r="F42" s="48" t="s">
        <v>766</v>
      </c>
      <c r="G42" s="11">
        <f t="shared" si="2"/>
        <v>1935514.7199999997</v>
      </c>
      <c r="H42" s="387"/>
      <c r="I42" s="11">
        <f>1119973.76+369401.71+285831.89+160307.36</f>
        <v>1935514.7199999997</v>
      </c>
      <c r="J42" s="386"/>
      <c r="K42" s="23">
        <f t="shared" si="0"/>
        <v>0</v>
      </c>
      <c r="L42" s="23"/>
      <c r="M42" s="12" t="s">
        <v>30</v>
      </c>
      <c r="N42" s="251">
        <f t="shared" si="1"/>
        <v>1</v>
      </c>
      <c r="O42" s="251">
        <v>1</v>
      </c>
      <c r="P42" s="49" t="s">
        <v>20</v>
      </c>
      <c r="Q42" s="13">
        <v>3188.82</v>
      </c>
      <c r="R42" s="50" t="s">
        <v>233</v>
      </c>
      <c r="S42" s="398" t="s">
        <v>410</v>
      </c>
      <c r="T42" s="398" t="s">
        <v>308</v>
      </c>
      <c r="U42" s="399" t="s">
        <v>230</v>
      </c>
    </row>
    <row r="43" spans="1:21" s="5" customFormat="1" ht="89.1" customHeight="1">
      <c r="A43" s="332" t="s">
        <v>19</v>
      </c>
      <c r="B43" s="378">
        <v>44320</v>
      </c>
      <c r="C43" s="15" t="s">
        <v>628</v>
      </c>
      <c r="D43" s="352"/>
      <c r="E43" s="47" t="s">
        <v>234</v>
      </c>
      <c r="F43" s="48" t="s">
        <v>767</v>
      </c>
      <c r="G43" s="11">
        <f t="shared" si="2"/>
        <v>2199579.63</v>
      </c>
      <c r="H43" s="387"/>
      <c r="I43" s="11">
        <f>1180083.05+531811.31+454684.81+33000.46</f>
        <v>2199579.63</v>
      </c>
      <c r="J43" s="386"/>
      <c r="K43" s="23">
        <f t="shared" si="0"/>
        <v>0</v>
      </c>
      <c r="L43" s="23"/>
      <c r="M43" s="12" t="s">
        <v>30</v>
      </c>
      <c r="N43" s="251">
        <f t="shared" si="1"/>
        <v>1</v>
      </c>
      <c r="O43" s="251">
        <v>1</v>
      </c>
      <c r="P43" s="49" t="s">
        <v>20</v>
      </c>
      <c r="Q43" s="13">
        <v>3590.25</v>
      </c>
      <c r="R43" s="50" t="s">
        <v>233</v>
      </c>
      <c r="S43" s="398" t="s">
        <v>410</v>
      </c>
      <c r="T43" s="398" t="s">
        <v>309</v>
      </c>
      <c r="U43" s="399" t="s">
        <v>310</v>
      </c>
    </row>
    <row r="44" spans="1:21" s="5" customFormat="1" ht="89.1" customHeight="1">
      <c r="A44" s="332" t="s">
        <v>19</v>
      </c>
      <c r="B44" s="378">
        <v>44320</v>
      </c>
      <c r="C44" s="15" t="s">
        <v>629</v>
      </c>
      <c r="D44" s="352"/>
      <c r="E44" s="47" t="s">
        <v>235</v>
      </c>
      <c r="F44" s="48" t="s">
        <v>768</v>
      </c>
      <c r="G44" s="11">
        <f t="shared" si="2"/>
        <v>2019746.7830000001</v>
      </c>
      <c r="H44" s="387"/>
      <c r="I44" s="11">
        <f>1152308.743+774399.78+93038.26</f>
        <v>2019746.7830000001</v>
      </c>
      <c r="J44" s="386"/>
      <c r="K44" s="23">
        <f t="shared" si="0"/>
        <v>0</v>
      </c>
      <c r="L44" s="23"/>
      <c r="M44" s="12" t="s">
        <v>30</v>
      </c>
      <c r="N44" s="251">
        <f t="shared" si="1"/>
        <v>1</v>
      </c>
      <c r="O44" s="251">
        <v>1</v>
      </c>
      <c r="P44" s="49" t="s">
        <v>20</v>
      </c>
      <c r="Q44" s="13">
        <v>3226.99</v>
      </c>
      <c r="R44" s="50" t="s">
        <v>233</v>
      </c>
      <c r="S44" s="398" t="s">
        <v>410</v>
      </c>
      <c r="T44" s="398" t="s">
        <v>259</v>
      </c>
      <c r="U44" s="399" t="s">
        <v>298</v>
      </c>
    </row>
    <row r="45" spans="1:21" s="5" customFormat="1" ht="89.1" customHeight="1">
      <c r="A45" s="332" t="s">
        <v>19</v>
      </c>
      <c r="B45" s="378">
        <v>44320</v>
      </c>
      <c r="C45" s="15" t="s">
        <v>630</v>
      </c>
      <c r="D45" s="352"/>
      <c r="E45" s="47" t="s">
        <v>236</v>
      </c>
      <c r="F45" s="48" t="s">
        <v>769</v>
      </c>
      <c r="G45" s="11">
        <f t="shared" si="2"/>
        <v>1961982.65</v>
      </c>
      <c r="H45" s="387"/>
      <c r="I45" s="11">
        <f>1253920.97+545393.12+162668.56</f>
        <v>1961982.65</v>
      </c>
      <c r="J45" s="386"/>
      <c r="K45" s="23">
        <f t="shared" si="0"/>
        <v>0</v>
      </c>
      <c r="L45" s="23"/>
      <c r="M45" s="12" t="s">
        <v>30</v>
      </c>
      <c r="N45" s="251">
        <f t="shared" si="1"/>
        <v>1</v>
      </c>
      <c r="O45" s="251">
        <v>1</v>
      </c>
      <c r="P45" s="49" t="s">
        <v>20</v>
      </c>
      <c r="Q45" s="13">
        <v>3371.74</v>
      </c>
      <c r="R45" s="50" t="s">
        <v>233</v>
      </c>
      <c r="S45" s="398" t="s">
        <v>410</v>
      </c>
      <c r="T45" s="398" t="s">
        <v>311</v>
      </c>
      <c r="U45" s="399" t="s">
        <v>312</v>
      </c>
    </row>
    <row r="46" spans="1:21" s="5" customFormat="1" ht="89.1" customHeight="1">
      <c r="A46" s="332" t="s">
        <v>19</v>
      </c>
      <c r="B46" s="378">
        <v>44320</v>
      </c>
      <c r="C46" s="15" t="s">
        <v>631</v>
      </c>
      <c r="D46" s="352"/>
      <c r="E46" s="47" t="s">
        <v>237</v>
      </c>
      <c r="F46" s="48" t="s">
        <v>770</v>
      </c>
      <c r="G46" s="11">
        <f t="shared" si="2"/>
        <v>1906258.87</v>
      </c>
      <c r="H46" s="387"/>
      <c r="I46" s="11">
        <f>979937.41+400025.83+462010.9+64284.73</f>
        <v>1906258.87</v>
      </c>
      <c r="J46" s="386"/>
      <c r="K46" s="23">
        <f t="shared" si="0"/>
        <v>0</v>
      </c>
      <c r="L46" s="23"/>
      <c r="M46" s="12" t="s">
        <v>30</v>
      </c>
      <c r="N46" s="251">
        <f t="shared" si="1"/>
        <v>1</v>
      </c>
      <c r="O46" s="251">
        <v>1</v>
      </c>
      <c r="P46" s="49" t="s">
        <v>20</v>
      </c>
      <c r="Q46" s="13">
        <v>2851.66</v>
      </c>
      <c r="R46" s="50" t="s">
        <v>61</v>
      </c>
      <c r="S46" s="398" t="s">
        <v>410</v>
      </c>
      <c r="T46" s="398" t="s">
        <v>313</v>
      </c>
      <c r="U46" s="399" t="s">
        <v>314</v>
      </c>
    </row>
    <row r="47" spans="1:21" s="5" customFormat="1" ht="89.1" customHeight="1">
      <c r="A47" s="332" t="s">
        <v>19</v>
      </c>
      <c r="B47" s="378">
        <v>44320</v>
      </c>
      <c r="C47" s="15" t="s">
        <v>632</v>
      </c>
      <c r="D47" s="352"/>
      <c r="E47" s="47" t="s">
        <v>238</v>
      </c>
      <c r="F47" s="48" t="s">
        <v>771</v>
      </c>
      <c r="G47" s="11">
        <f t="shared" si="2"/>
        <v>2111570.0299999998</v>
      </c>
      <c r="H47" s="387"/>
      <c r="I47" s="11">
        <f>1050088.2+408049.2+453167.24+200265.39</f>
        <v>2111570.0299999998</v>
      </c>
      <c r="J47" s="386"/>
      <c r="K47" s="23">
        <f t="shared" si="0"/>
        <v>0</v>
      </c>
      <c r="L47" s="23"/>
      <c r="M47" s="12" t="s">
        <v>30</v>
      </c>
      <c r="N47" s="251">
        <f t="shared" si="1"/>
        <v>1</v>
      </c>
      <c r="O47" s="251">
        <v>1</v>
      </c>
      <c r="P47" s="49" t="s">
        <v>20</v>
      </c>
      <c r="Q47" s="13">
        <v>3278.84</v>
      </c>
      <c r="R47" s="50" t="s">
        <v>61</v>
      </c>
      <c r="S47" s="398" t="s">
        <v>410</v>
      </c>
      <c r="T47" s="398" t="s">
        <v>315</v>
      </c>
      <c r="U47" s="399" t="s">
        <v>316</v>
      </c>
    </row>
    <row r="48" spans="1:21" s="5" customFormat="1" ht="89.1" customHeight="1">
      <c r="A48" s="332" t="s">
        <v>19</v>
      </c>
      <c r="B48" s="378">
        <v>44341</v>
      </c>
      <c r="C48" s="15" t="s">
        <v>633</v>
      </c>
      <c r="D48" s="352"/>
      <c r="E48" s="47" t="s">
        <v>239</v>
      </c>
      <c r="F48" s="48" t="s">
        <v>772</v>
      </c>
      <c r="G48" s="11">
        <f t="shared" si="2"/>
        <v>1639854.1900000004</v>
      </c>
      <c r="H48" s="387"/>
      <c r="I48" s="11">
        <f>821163.54+626700.64+148342.39+43647.62</f>
        <v>1639854.1900000004</v>
      </c>
      <c r="J48" s="386"/>
      <c r="K48" s="23">
        <f t="shared" si="0"/>
        <v>0</v>
      </c>
      <c r="L48" s="23"/>
      <c r="M48" s="12" t="s">
        <v>30</v>
      </c>
      <c r="N48" s="251">
        <f t="shared" si="1"/>
        <v>1</v>
      </c>
      <c r="O48" s="251">
        <v>1</v>
      </c>
      <c r="P48" s="49" t="s">
        <v>20</v>
      </c>
      <c r="Q48" s="13">
        <v>2257.6799999999998</v>
      </c>
      <c r="R48" s="50" t="s">
        <v>65</v>
      </c>
      <c r="S48" s="398" t="s">
        <v>410</v>
      </c>
      <c r="T48" s="398" t="s">
        <v>82</v>
      </c>
      <c r="U48" s="399" t="s">
        <v>360</v>
      </c>
    </row>
    <row r="49" spans="1:21" s="5" customFormat="1" ht="89.1" customHeight="1">
      <c r="A49" s="332" t="s">
        <v>19</v>
      </c>
      <c r="B49" s="8">
        <v>44341</v>
      </c>
      <c r="C49" s="15" t="s">
        <v>634</v>
      </c>
      <c r="D49" s="352"/>
      <c r="E49" s="47" t="s">
        <v>240</v>
      </c>
      <c r="F49" s="48" t="s">
        <v>772</v>
      </c>
      <c r="G49" s="11">
        <f t="shared" si="2"/>
        <v>1387866.0399999998</v>
      </c>
      <c r="H49" s="387"/>
      <c r="I49" s="11">
        <f>719088.94+369974.67+257478.72+41323.71</f>
        <v>1387866.0399999998</v>
      </c>
      <c r="J49" s="386"/>
      <c r="K49" s="23">
        <f t="shared" si="0"/>
        <v>0</v>
      </c>
      <c r="L49" s="23"/>
      <c r="M49" s="12" t="s">
        <v>30</v>
      </c>
      <c r="N49" s="251">
        <f t="shared" si="1"/>
        <v>1</v>
      </c>
      <c r="O49" s="251">
        <v>1</v>
      </c>
      <c r="P49" s="49" t="s">
        <v>20</v>
      </c>
      <c r="Q49" s="13">
        <v>2077.39</v>
      </c>
      <c r="R49" s="50" t="s">
        <v>65</v>
      </c>
      <c r="S49" s="398" t="s">
        <v>410</v>
      </c>
      <c r="T49" s="398" t="s">
        <v>361</v>
      </c>
      <c r="U49" s="399" t="s">
        <v>362</v>
      </c>
    </row>
    <row r="50" spans="1:21" s="16" customFormat="1" ht="72" customHeight="1">
      <c r="A50" s="332" t="s">
        <v>241</v>
      </c>
      <c r="B50" s="8">
        <v>43958</v>
      </c>
      <c r="C50" s="15" t="s">
        <v>635</v>
      </c>
      <c r="D50" s="10"/>
      <c r="E50" s="47" t="s">
        <v>242</v>
      </c>
      <c r="F50" s="48" t="s">
        <v>636</v>
      </c>
      <c r="G50" s="11">
        <f t="shared" si="2"/>
        <v>5943348</v>
      </c>
      <c r="H50" s="24"/>
      <c r="I50" s="11">
        <f>2871128.93+383789.7+885073.14+879160.55+924195.68</f>
        <v>5943348</v>
      </c>
      <c r="J50" s="11"/>
      <c r="K50" s="23">
        <f t="shared" si="0"/>
        <v>0</v>
      </c>
      <c r="L50" s="23"/>
      <c r="M50" s="12" t="s">
        <v>30</v>
      </c>
      <c r="N50" s="251">
        <f t="shared" si="1"/>
        <v>1</v>
      </c>
      <c r="O50" s="251">
        <v>1</v>
      </c>
      <c r="P50" s="49" t="s">
        <v>243</v>
      </c>
      <c r="Q50" s="13">
        <v>1</v>
      </c>
      <c r="R50" s="50" t="s">
        <v>244</v>
      </c>
      <c r="S50" s="398" t="s">
        <v>317</v>
      </c>
      <c r="T50" s="398" t="s">
        <v>318</v>
      </c>
      <c r="U50" s="399" t="s">
        <v>319</v>
      </c>
    </row>
    <row r="51" spans="1:21" s="16" customFormat="1" ht="77.25" customHeight="1">
      <c r="A51" s="332" t="s">
        <v>19</v>
      </c>
      <c r="B51" s="8">
        <v>44341</v>
      </c>
      <c r="C51" s="15" t="s">
        <v>637</v>
      </c>
      <c r="D51" s="352"/>
      <c r="E51" s="47" t="s">
        <v>245</v>
      </c>
      <c r="F51" s="48" t="s">
        <v>773</v>
      </c>
      <c r="G51" s="11">
        <f t="shared" si="2"/>
        <v>485999.99000000005</v>
      </c>
      <c r="H51" s="387"/>
      <c r="I51" s="11">
        <f>145800.01+146382.82+148477.45+45339.71</f>
        <v>485999.99000000005</v>
      </c>
      <c r="J51" s="386"/>
      <c r="K51" s="23">
        <f t="shared" si="0"/>
        <v>0</v>
      </c>
      <c r="L51" s="23"/>
      <c r="M51" s="12" t="s">
        <v>30</v>
      </c>
      <c r="N51" s="251">
        <f t="shared" si="1"/>
        <v>1</v>
      </c>
      <c r="O51" s="251">
        <v>1</v>
      </c>
      <c r="P51" s="49" t="s">
        <v>58</v>
      </c>
      <c r="Q51" s="13">
        <v>1</v>
      </c>
      <c r="R51" s="50" t="s">
        <v>246</v>
      </c>
      <c r="S51" s="398" t="s">
        <v>226</v>
      </c>
      <c r="T51" s="398" t="s">
        <v>363</v>
      </c>
      <c r="U51" s="399" t="s">
        <v>364</v>
      </c>
    </row>
    <row r="52" spans="1:21" s="54" customFormat="1" ht="63" customHeight="1">
      <c r="A52" s="364" t="s">
        <v>241</v>
      </c>
      <c r="B52" s="365">
        <v>44369</v>
      </c>
      <c r="C52" s="366" t="s">
        <v>638</v>
      </c>
      <c r="D52" s="10"/>
      <c r="E52" s="367" t="s">
        <v>265</v>
      </c>
      <c r="F52" s="368" t="s">
        <v>639</v>
      </c>
      <c r="G52" s="11">
        <f t="shared" si="2"/>
        <v>1949232.3</v>
      </c>
      <c r="H52" s="24"/>
      <c r="I52" s="369">
        <f>974616.15+974616.15</f>
        <v>1949232.3</v>
      </c>
      <c r="J52" s="11"/>
      <c r="K52" s="23">
        <f t="shared" si="0"/>
        <v>0</v>
      </c>
      <c r="L52" s="390"/>
      <c r="M52" s="370" t="s">
        <v>30</v>
      </c>
      <c r="N52" s="371">
        <f t="shared" si="1"/>
        <v>1</v>
      </c>
      <c r="O52" s="371">
        <v>1</v>
      </c>
      <c r="P52" s="372" t="s">
        <v>243</v>
      </c>
      <c r="Q52" s="373">
        <v>1</v>
      </c>
      <c r="R52" s="374" t="s">
        <v>266</v>
      </c>
      <c r="S52" s="404" t="s">
        <v>209</v>
      </c>
      <c r="T52" s="404" t="s">
        <v>365</v>
      </c>
      <c r="U52" s="405" t="s">
        <v>366</v>
      </c>
    </row>
    <row r="53" spans="1:21" s="16" customFormat="1" ht="75.75" customHeight="1">
      <c r="A53" s="332" t="s">
        <v>19</v>
      </c>
      <c r="B53" s="8">
        <v>44342</v>
      </c>
      <c r="C53" s="15" t="s">
        <v>640</v>
      </c>
      <c r="D53" s="352"/>
      <c r="E53" s="47" t="s">
        <v>247</v>
      </c>
      <c r="F53" s="48" t="s">
        <v>774</v>
      </c>
      <c r="G53" s="11">
        <f t="shared" si="2"/>
        <v>5792859.8199999994</v>
      </c>
      <c r="H53" s="387"/>
      <c r="I53" s="11">
        <f>2780287+2016266.77+760167.02+236139.03</f>
        <v>5792859.8199999994</v>
      </c>
      <c r="J53" s="386"/>
      <c r="K53" s="23">
        <f t="shared" si="0"/>
        <v>0</v>
      </c>
      <c r="L53" s="23"/>
      <c r="M53" s="12" t="s">
        <v>30</v>
      </c>
      <c r="N53" s="251">
        <f t="shared" si="1"/>
        <v>1</v>
      </c>
      <c r="O53" s="251">
        <v>1</v>
      </c>
      <c r="P53" s="49" t="s">
        <v>20</v>
      </c>
      <c r="Q53" s="13">
        <v>5052.4399999999996</v>
      </c>
      <c r="R53" s="50" t="s">
        <v>35</v>
      </c>
      <c r="S53" s="398" t="s">
        <v>209</v>
      </c>
      <c r="T53" s="398" t="s">
        <v>309</v>
      </c>
      <c r="U53" s="399" t="s">
        <v>320</v>
      </c>
    </row>
    <row r="54" spans="1:21" ht="75.75" customHeight="1">
      <c r="A54" s="332" t="s">
        <v>19</v>
      </c>
      <c r="B54" s="378">
        <v>44342</v>
      </c>
      <c r="C54" s="15" t="s">
        <v>641</v>
      </c>
      <c r="D54" s="352"/>
      <c r="E54" s="47" t="s">
        <v>248</v>
      </c>
      <c r="F54" s="48" t="s">
        <v>775</v>
      </c>
      <c r="G54" s="11">
        <f t="shared" si="2"/>
        <v>5987429.9100000001</v>
      </c>
      <c r="H54" s="387"/>
      <c r="I54" s="11">
        <f>2878602.16+2456154.62+407709.68+244963.45</f>
        <v>5987429.9100000001</v>
      </c>
      <c r="J54" s="386"/>
      <c r="K54" s="23">
        <f t="shared" si="0"/>
        <v>0</v>
      </c>
      <c r="L54" s="23"/>
      <c r="M54" s="12" t="s">
        <v>30</v>
      </c>
      <c r="N54" s="251">
        <f t="shared" si="1"/>
        <v>1</v>
      </c>
      <c r="O54" s="251">
        <v>1</v>
      </c>
      <c r="P54" s="49" t="s">
        <v>20</v>
      </c>
      <c r="Q54" s="13">
        <v>5216.57</v>
      </c>
      <c r="R54" s="50" t="s">
        <v>35</v>
      </c>
      <c r="S54" s="398" t="s">
        <v>209</v>
      </c>
      <c r="T54" s="398" t="s">
        <v>321</v>
      </c>
      <c r="U54" s="399" t="s">
        <v>322</v>
      </c>
    </row>
    <row r="55" spans="1:21" ht="81" customHeight="1">
      <c r="A55" s="332" t="s">
        <v>19</v>
      </c>
      <c r="B55" s="378">
        <v>44342</v>
      </c>
      <c r="C55" s="15" t="s">
        <v>642</v>
      </c>
      <c r="D55" s="352"/>
      <c r="E55" s="47" t="s">
        <v>249</v>
      </c>
      <c r="F55" s="48" t="s">
        <v>776</v>
      </c>
      <c r="G55" s="11">
        <f t="shared" si="2"/>
        <v>1997007.5499999998</v>
      </c>
      <c r="H55" s="387"/>
      <c r="I55" s="11">
        <f>976025.66+261620.59+312573.4+397106.7+49681.2</f>
        <v>1997007.5499999998</v>
      </c>
      <c r="J55" s="386"/>
      <c r="K55" s="23">
        <f t="shared" si="0"/>
        <v>0</v>
      </c>
      <c r="L55" s="23"/>
      <c r="M55" s="12" t="s">
        <v>30</v>
      </c>
      <c r="N55" s="251">
        <f t="shared" si="1"/>
        <v>1</v>
      </c>
      <c r="O55" s="251">
        <v>1</v>
      </c>
      <c r="P55" s="49" t="s">
        <v>58</v>
      </c>
      <c r="Q55" s="13">
        <v>1</v>
      </c>
      <c r="R55" s="50" t="s">
        <v>65</v>
      </c>
      <c r="S55" s="398" t="s">
        <v>410</v>
      </c>
      <c r="T55" s="398" t="s">
        <v>323</v>
      </c>
      <c r="U55" s="399" t="s">
        <v>324</v>
      </c>
    </row>
    <row r="56" spans="1:21" ht="76.5" customHeight="1">
      <c r="A56" s="332" t="s">
        <v>19</v>
      </c>
      <c r="B56" s="378">
        <v>44364</v>
      </c>
      <c r="C56" s="15" t="s">
        <v>643</v>
      </c>
      <c r="D56" s="352"/>
      <c r="E56" s="47" t="s">
        <v>267</v>
      </c>
      <c r="F56" s="48" t="s">
        <v>777</v>
      </c>
      <c r="G56" s="11">
        <f t="shared" si="2"/>
        <v>1429080.5500000003</v>
      </c>
      <c r="H56" s="387"/>
      <c r="I56" s="11">
        <f>428724.17+51345.68+152362.24+239553.68+271824.09+251930.63+33340.06</f>
        <v>1429080.5500000003</v>
      </c>
      <c r="J56" s="386"/>
      <c r="K56" s="23">
        <f t="shared" si="0"/>
        <v>0</v>
      </c>
      <c r="L56" s="23"/>
      <c r="M56" s="12" t="s">
        <v>30</v>
      </c>
      <c r="N56" s="251">
        <f t="shared" si="1"/>
        <v>1</v>
      </c>
      <c r="O56" s="251">
        <v>1</v>
      </c>
      <c r="P56" s="49" t="s">
        <v>58</v>
      </c>
      <c r="Q56" s="13">
        <v>1</v>
      </c>
      <c r="R56" s="50" t="s">
        <v>59</v>
      </c>
      <c r="S56" s="398" t="s">
        <v>410</v>
      </c>
      <c r="T56" s="398" t="s">
        <v>367</v>
      </c>
      <c r="U56" s="399" t="s">
        <v>368</v>
      </c>
    </row>
    <row r="57" spans="1:21" ht="90.75" customHeight="1">
      <c r="A57" s="332" t="s">
        <v>19</v>
      </c>
      <c r="B57" s="8">
        <v>44369</v>
      </c>
      <c r="C57" s="15" t="s">
        <v>644</v>
      </c>
      <c r="D57" s="352"/>
      <c r="E57" s="47" t="s">
        <v>268</v>
      </c>
      <c r="F57" s="48" t="s">
        <v>778</v>
      </c>
      <c r="G57" s="11">
        <f t="shared" si="2"/>
        <v>2292892.1</v>
      </c>
      <c r="H57" s="387"/>
      <c r="I57" s="11">
        <f>1121317.03+763036.74+160432.27+202433.57+45672.49</f>
        <v>2292892.1</v>
      </c>
      <c r="J57" s="386"/>
      <c r="K57" s="23">
        <f t="shared" si="0"/>
        <v>0</v>
      </c>
      <c r="L57" s="389"/>
      <c r="M57" s="12" t="s">
        <v>30</v>
      </c>
      <c r="N57" s="251">
        <f t="shared" si="1"/>
        <v>1</v>
      </c>
      <c r="O57" s="251">
        <v>1</v>
      </c>
      <c r="P57" s="49" t="s">
        <v>20</v>
      </c>
      <c r="Q57" s="13">
        <v>2892.18</v>
      </c>
      <c r="R57" s="50" t="s">
        <v>269</v>
      </c>
      <c r="S57" s="398" t="s">
        <v>410</v>
      </c>
      <c r="T57" s="398" t="s">
        <v>308</v>
      </c>
      <c r="U57" s="399" t="s">
        <v>369</v>
      </c>
    </row>
    <row r="58" spans="1:21" ht="74.25" customHeight="1">
      <c r="A58" s="332" t="s">
        <v>19</v>
      </c>
      <c r="B58" s="8">
        <v>44369</v>
      </c>
      <c r="C58" s="15" t="s">
        <v>645</v>
      </c>
      <c r="D58" s="352"/>
      <c r="E58" s="47" t="s">
        <v>270</v>
      </c>
      <c r="F58" s="48" t="s">
        <v>779</v>
      </c>
      <c r="G58" s="11">
        <f t="shared" si="2"/>
        <v>1923975.0500000003</v>
      </c>
      <c r="H58" s="387"/>
      <c r="I58" s="11">
        <f>1121363.85+168694.93+24467.52+424783.15+184665.6</f>
        <v>1923975.0500000003</v>
      </c>
      <c r="J58" s="386"/>
      <c r="K58" s="23">
        <f t="shared" si="0"/>
        <v>0</v>
      </c>
      <c r="L58" s="23"/>
      <c r="M58" s="12" t="s">
        <v>30</v>
      </c>
      <c r="N58" s="251">
        <f t="shared" si="1"/>
        <v>1</v>
      </c>
      <c r="O58" s="251">
        <v>1</v>
      </c>
      <c r="P58" s="49" t="s">
        <v>20</v>
      </c>
      <c r="Q58" s="13">
        <v>2716.72</v>
      </c>
      <c r="R58" s="50" t="s">
        <v>269</v>
      </c>
      <c r="S58" s="398" t="s">
        <v>410</v>
      </c>
      <c r="T58" s="398" t="s">
        <v>311</v>
      </c>
      <c r="U58" s="399" t="s">
        <v>370</v>
      </c>
    </row>
    <row r="59" spans="1:21" ht="71.25" customHeight="1">
      <c r="A59" s="332" t="s">
        <v>241</v>
      </c>
      <c r="B59" s="8">
        <v>44369</v>
      </c>
      <c r="C59" s="15" t="s">
        <v>646</v>
      </c>
      <c r="D59" s="10"/>
      <c r="E59" s="47" t="s">
        <v>271</v>
      </c>
      <c r="F59" s="48" t="s">
        <v>647</v>
      </c>
      <c r="G59" s="11">
        <f t="shared" si="2"/>
        <v>9202520.9100000001</v>
      </c>
      <c r="H59" s="24"/>
      <c r="I59" s="11">
        <f>4269870.94+883758.81+981449.19+650084.42+646932+652750.7+451743.43+665931.42</f>
        <v>9202520.9100000001</v>
      </c>
      <c r="J59" s="11"/>
      <c r="K59" s="23">
        <f t="shared" si="0"/>
        <v>0</v>
      </c>
      <c r="L59" s="23"/>
      <c r="M59" s="12" t="s">
        <v>30</v>
      </c>
      <c r="N59" s="251">
        <f t="shared" si="1"/>
        <v>1</v>
      </c>
      <c r="O59" s="251">
        <v>1</v>
      </c>
      <c r="P59" s="49" t="s">
        <v>272</v>
      </c>
      <c r="Q59" s="13">
        <v>1706.68</v>
      </c>
      <c r="R59" s="50" t="s">
        <v>273</v>
      </c>
      <c r="S59" s="398" t="s">
        <v>209</v>
      </c>
      <c r="T59" s="398" t="s">
        <v>371</v>
      </c>
      <c r="U59" s="399" t="s">
        <v>372</v>
      </c>
    </row>
    <row r="60" spans="1:21" ht="105.75" customHeight="1">
      <c r="A60" s="332" t="s">
        <v>19</v>
      </c>
      <c r="B60" s="8">
        <v>44369</v>
      </c>
      <c r="C60" s="15" t="s">
        <v>648</v>
      </c>
      <c r="D60" s="352"/>
      <c r="E60" s="47" t="s">
        <v>274</v>
      </c>
      <c r="F60" s="48" t="s">
        <v>780</v>
      </c>
      <c r="G60" s="11">
        <f t="shared" si="2"/>
        <v>2264901.7000000002</v>
      </c>
      <c r="H60" s="387"/>
      <c r="I60" s="11">
        <f>1226457.71+49929.86+731128.65+207483.83+49901.65</f>
        <v>2264901.7000000002</v>
      </c>
      <c r="J60" s="386"/>
      <c r="K60" s="23">
        <f t="shared" si="0"/>
        <v>0</v>
      </c>
      <c r="L60" s="23"/>
      <c r="M60" s="12" t="s">
        <v>30</v>
      </c>
      <c r="N60" s="251">
        <f t="shared" si="1"/>
        <v>1</v>
      </c>
      <c r="O60" s="251">
        <v>1</v>
      </c>
      <c r="P60" s="49" t="s">
        <v>20</v>
      </c>
      <c r="Q60" s="13">
        <v>2626.75</v>
      </c>
      <c r="R60" s="50" t="s">
        <v>61</v>
      </c>
      <c r="S60" s="398" t="s">
        <v>410</v>
      </c>
      <c r="T60" s="398" t="s">
        <v>373</v>
      </c>
      <c r="U60" s="399" t="s">
        <v>374</v>
      </c>
    </row>
    <row r="61" spans="1:21" ht="94.5" customHeight="1">
      <c r="A61" s="344" t="s">
        <v>19</v>
      </c>
      <c r="B61" s="378">
        <v>44369</v>
      </c>
      <c r="C61" s="15" t="s">
        <v>649</v>
      </c>
      <c r="D61" s="352"/>
      <c r="E61" s="47" t="s">
        <v>275</v>
      </c>
      <c r="F61" s="48" t="s">
        <v>781</v>
      </c>
      <c r="G61" s="11">
        <f t="shared" si="2"/>
        <v>2521411.7200000002</v>
      </c>
      <c r="H61" s="387"/>
      <c r="I61" s="11">
        <f>1260705.86+928748.25+290286.06+41671.55</f>
        <v>2521411.7200000002</v>
      </c>
      <c r="J61" s="386"/>
      <c r="K61" s="23">
        <f t="shared" si="0"/>
        <v>0</v>
      </c>
      <c r="L61" s="23"/>
      <c r="M61" s="12" t="s">
        <v>30</v>
      </c>
      <c r="N61" s="251">
        <f t="shared" si="1"/>
        <v>1</v>
      </c>
      <c r="O61" s="251">
        <v>1</v>
      </c>
      <c r="P61" s="49" t="s">
        <v>20</v>
      </c>
      <c r="Q61" s="13">
        <v>2602.41</v>
      </c>
      <c r="R61" s="50" t="s">
        <v>61</v>
      </c>
      <c r="S61" s="398" t="s">
        <v>410</v>
      </c>
      <c r="T61" s="398" t="s">
        <v>375</v>
      </c>
      <c r="U61" s="399" t="s">
        <v>376</v>
      </c>
    </row>
    <row r="62" spans="1:21" ht="76.5" customHeight="1">
      <c r="A62" s="332" t="s">
        <v>19</v>
      </c>
      <c r="B62" s="378">
        <v>44369</v>
      </c>
      <c r="C62" s="15" t="s">
        <v>650</v>
      </c>
      <c r="D62" s="352"/>
      <c r="E62" s="47" t="s">
        <v>276</v>
      </c>
      <c r="F62" s="48" t="s">
        <v>782</v>
      </c>
      <c r="G62" s="11">
        <f t="shared" si="2"/>
        <v>2374509.3000000003</v>
      </c>
      <c r="H62" s="387"/>
      <c r="I62" s="11">
        <f>688015.89+175468.56+319883.48+165676.08+368329.63+349957.64+274320.06+32857.96</f>
        <v>2374509.3000000003</v>
      </c>
      <c r="J62" s="386"/>
      <c r="K62" s="23">
        <f t="shared" si="0"/>
        <v>0</v>
      </c>
      <c r="L62" s="23"/>
      <c r="M62" s="12" t="s">
        <v>30</v>
      </c>
      <c r="N62" s="251">
        <f t="shared" si="1"/>
        <v>1</v>
      </c>
      <c r="O62" s="251">
        <v>1</v>
      </c>
      <c r="P62" s="49" t="s">
        <v>58</v>
      </c>
      <c r="Q62" s="13">
        <v>1</v>
      </c>
      <c r="R62" s="50" t="s">
        <v>59</v>
      </c>
      <c r="S62" s="398" t="s">
        <v>410</v>
      </c>
      <c r="T62" s="398" t="s">
        <v>377</v>
      </c>
      <c r="U62" s="399" t="s">
        <v>378</v>
      </c>
    </row>
    <row r="63" spans="1:21" ht="80.25" customHeight="1">
      <c r="A63" s="332" t="s">
        <v>19</v>
      </c>
      <c r="B63" s="378">
        <v>44369</v>
      </c>
      <c r="C63" s="15" t="s">
        <v>651</v>
      </c>
      <c r="D63" s="352"/>
      <c r="E63" s="47" t="s">
        <v>277</v>
      </c>
      <c r="F63" s="48" t="s">
        <v>783</v>
      </c>
      <c r="G63" s="11">
        <f t="shared" si="2"/>
        <v>2014499.6999999997</v>
      </c>
      <c r="H63" s="387"/>
      <c r="I63" s="11">
        <f>593338.65+771150.29+568752.22+40210.23+20594.15+20454.16</f>
        <v>2014499.6999999997</v>
      </c>
      <c r="J63" s="386"/>
      <c r="K63" s="23">
        <f t="shared" si="0"/>
        <v>0</v>
      </c>
      <c r="L63" s="23"/>
      <c r="M63" s="12" t="s">
        <v>30</v>
      </c>
      <c r="N63" s="251">
        <f t="shared" si="1"/>
        <v>1</v>
      </c>
      <c r="O63" s="251">
        <v>1</v>
      </c>
      <c r="P63" s="49" t="s">
        <v>58</v>
      </c>
      <c r="Q63" s="13">
        <v>1</v>
      </c>
      <c r="R63" s="50" t="s">
        <v>59</v>
      </c>
      <c r="S63" s="398" t="s">
        <v>410</v>
      </c>
      <c r="T63" s="398" t="s">
        <v>422</v>
      </c>
      <c r="U63" s="399" t="s">
        <v>423</v>
      </c>
    </row>
    <row r="64" spans="1:21" ht="75" customHeight="1">
      <c r="A64" s="332" t="s">
        <v>19</v>
      </c>
      <c r="B64" s="378">
        <v>44369</v>
      </c>
      <c r="C64" s="15" t="s">
        <v>652</v>
      </c>
      <c r="D64" s="352"/>
      <c r="E64" s="47" t="s">
        <v>278</v>
      </c>
      <c r="F64" s="48" t="s">
        <v>784</v>
      </c>
      <c r="G64" s="11">
        <f t="shared" si="2"/>
        <v>2502201.9700000002</v>
      </c>
      <c r="H64" s="387"/>
      <c r="I64" s="11">
        <f>750660.59+281485.24+509250.34+273903.39+281726.72+269104.24+136071.45</f>
        <v>2502201.9700000002</v>
      </c>
      <c r="J64" s="386"/>
      <c r="K64" s="23">
        <f t="shared" si="0"/>
        <v>0</v>
      </c>
      <c r="L64" s="23"/>
      <c r="M64" s="12" t="s">
        <v>30</v>
      </c>
      <c r="N64" s="251">
        <f t="shared" si="1"/>
        <v>1</v>
      </c>
      <c r="O64" s="251">
        <v>1</v>
      </c>
      <c r="P64" s="49" t="s">
        <v>58</v>
      </c>
      <c r="Q64" s="13">
        <v>1</v>
      </c>
      <c r="R64" s="50" t="s">
        <v>59</v>
      </c>
      <c r="S64" s="398" t="s">
        <v>410</v>
      </c>
      <c r="T64" s="398" t="s">
        <v>262</v>
      </c>
      <c r="U64" s="399" t="s">
        <v>379</v>
      </c>
    </row>
    <row r="65" spans="1:21" ht="69" customHeight="1">
      <c r="A65" s="332" t="s">
        <v>19</v>
      </c>
      <c r="B65" s="378">
        <v>44369</v>
      </c>
      <c r="C65" s="15" t="s">
        <v>653</v>
      </c>
      <c r="D65" s="352"/>
      <c r="E65" s="47" t="s">
        <v>279</v>
      </c>
      <c r="F65" s="48" t="s">
        <v>785</v>
      </c>
      <c r="G65" s="11">
        <f t="shared" si="2"/>
        <v>2589813.3199999998</v>
      </c>
      <c r="H65" s="387"/>
      <c r="I65" s="11">
        <f>758182.41+244925.25+493396.67+252851.86+596254.84+155164.24+78184.7+10853.35</f>
        <v>2589813.3199999998</v>
      </c>
      <c r="J65" s="386"/>
      <c r="K65" s="23">
        <f t="shared" si="0"/>
        <v>0</v>
      </c>
      <c r="L65" s="23"/>
      <c r="M65" s="12" t="s">
        <v>30</v>
      </c>
      <c r="N65" s="251">
        <f t="shared" si="1"/>
        <v>1</v>
      </c>
      <c r="O65" s="251">
        <v>1</v>
      </c>
      <c r="P65" s="49" t="s">
        <v>58</v>
      </c>
      <c r="Q65" s="13">
        <v>1</v>
      </c>
      <c r="R65" s="50" t="s">
        <v>59</v>
      </c>
      <c r="S65" s="398" t="s">
        <v>410</v>
      </c>
      <c r="T65" s="398" t="s">
        <v>380</v>
      </c>
      <c r="U65" s="399" t="s">
        <v>381</v>
      </c>
    </row>
    <row r="66" spans="1:21" ht="76.5" customHeight="1">
      <c r="A66" s="332" t="s">
        <v>19</v>
      </c>
      <c r="B66" s="378">
        <v>44369</v>
      </c>
      <c r="C66" s="15" t="s">
        <v>654</v>
      </c>
      <c r="D66" s="352"/>
      <c r="E66" s="47" t="s">
        <v>280</v>
      </c>
      <c r="F66" s="48" t="s">
        <v>786</v>
      </c>
      <c r="G66" s="11">
        <f t="shared" si="2"/>
        <v>2361084.88</v>
      </c>
      <c r="H66" s="387"/>
      <c r="I66" s="11">
        <f>850971.71+842334.23+404397.36+213762.48+49619.1</f>
        <v>2361084.88</v>
      </c>
      <c r="J66" s="386"/>
      <c r="K66" s="23">
        <f t="shared" si="0"/>
        <v>0</v>
      </c>
      <c r="L66" s="23"/>
      <c r="M66" s="12" t="s">
        <v>30</v>
      </c>
      <c r="N66" s="251">
        <f t="shared" si="1"/>
        <v>1</v>
      </c>
      <c r="O66" s="251">
        <v>1</v>
      </c>
      <c r="P66" s="49" t="s">
        <v>58</v>
      </c>
      <c r="Q66" s="13">
        <v>1</v>
      </c>
      <c r="R66" s="50" t="s">
        <v>59</v>
      </c>
      <c r="S66" s="398" t="s">
        <v>410</v>
      </c>
      <c r="T66" s="398" t="s">
        <v>496</v>
      </c>
      <c r="U66" s="399" t="s">
        <v>497</v>
      </c>
    </row>
    <row r="67" spans="1:21" ht="79.5" customHeight="1">
      <c r="A67" s="332" t="s">
        <v>19</v>
      </c>
      <c r="B67" s="378">
        <v>44369</v>
      </c>
      <c r="C67" s="15" t="s">
        <v>655</v>
      </c>
      <c r="D67" s="352"/>
      <c r="E67" s="47" t="s">
        <v>281</v>
      </c>
      <c r="F67" s="48" t="s">
        <v>787</v>
      </c>
      <c r="G67" s="11">
        <f t="shared" si="2"/>
        <v>930911.9800000001</v>
      </c>
      <c r="H67" s="387"/>
      <c r="I67" s="11">
        <f>271021.63+311539.17+290358.07+57993.11</f>
        <v>930911.9800000001</v>
      </c>
      <c r="J67" s="386"/>
      <c r="K67" s="23">
        <f t="shared" si="0"/>
        <v>0</v>
      </c>
      <c r="L67" s="23"/>
      <c r="M67" s="12" t="s">
        <v>30</v>
      </c>
      <c r="N67" s="251">
        <f t="shared" si="1"/>
        <v>1</v>
      </c>
      <c r="O67" s="251">
        <v>1</v>
      </c>
      <c r="P67" s="49" t="s">
        <v>58</v>
      </c>
      <c r="Q67" s="13">
        <v>1</v>
      </c>
      <c r="R67" s="50" t="s">
        <v>65</v>
      </c>
      <c r="S67" s="398" t="s">
        <v>226</v>
      </c>
      <c r="T67" s="398" t="s">
        <v>325</v>
      </c>
      <c r="U67" s="399" t="s">
        <v>326</v>
      </c>
    </row>
    <row r="68" spans="1:21" ht="87.75" customHeight="1">
      <c r="A68" s="332" t="s">
        <v>19</v>
      </c>
      <c r="B68" s="378">
        <v>44369</v>
      </c>
      <c r="C68" s="15" t="s">
        <v>656</v>
      </c>
      <c r="D68" s="352"/>
      <c r="E68" s="47" t="s">
        <v>282</v>
      </c>
      <c r="F68" s="48" t="s">
        <v>788</v>
      </c>
      <c r="G68" s="11">
        <f t="shared" si="2"/>
        <v>2596772.3800000004</v>
      </c>
      <c r="H68" s="387"/>
      <c r="I68" s="11">
        <f>760145.51+964398.62+260850.37+401461.85+172547.81+37368.22</f>
        <v>2596772.3800000004</v>
      </c>
      <c r="J68" s="386"/>
      <c r="K68" s="23">
        <f t="shared" si="0"/>
        <v>0</v>
      </c>
      <c r="L68" s="23"/>
      <c r="M68" s="12" t="s">
        <v>30</v>
      </c>
      <c r="N68" s="251">
        <f t="shared" si="1"/>
        <v>1</v>
      </c>
      <c r="O68" s="251">
        <v>1</v>
      </c>
      <c r="P68" s="49" t="s">
        <v>58</v>
      </c>
      <c r="Q68" s="13">
        <v>1</v>
      </c>
      <c r="R68" s="50" t="s">
        <v>65</v>
      </c>
      <c r="S68" s="398" t="s">
        <v>410</v>
      </c>
      <c r="T68" s="398" t="s">
        <v>382</v>
      </c>
      <c r="U68" s="399" t="s">
        <v>383</v>
      </c>
    </row>
    <row r="69" spans="1:21" ht="69.75" customHeight="1">
      <c r="A69" s="332" t="s">
        <v>19</v>
      </c>
      <c r="B69" s="378">
        <v>44369</v>
      </c>
      <c r="C69" s="15" t="s">
        <v>657</v>
      </c>
      <c r="D69" s="352"/>
      <c r="E69" s="47" t="s">
        <v>283</v>
      </c>
      <c r="F69" s="48" t="s">
        <v>789</v>
      </c>
      <c r="G69" s="11">
        <f t="shared" si="2"/>
        <v>2503782.37</v>
      </c>
      <c r="H69" s="387"/>
      <c r="I69" s="11">
        <f>734121.71+796046.23+453946.01+256213.18+234605.62+28849.62</f>
        <v>2503782.37</v>
      </c>
      <c r="J69" s="386"/>
      <c r="K69" s="23">
        <f t="shared" si="0"/>
        <v>0</v>
      </c>
      <c r="L69" s="23"/>
      <c r="M69" s="12" t="s">
        <v>30</v>
      </c>
      <c r="N69" s="251">
        <f t="shared" si="1"/>
        <v>1</v>
      </c>
      <c r="O69" s="251">
        <v>1</v>
      </c>
      <c r="P69" s="49" t="s">
        <v>58</v>
      </c>
      <c r="Q69" s="13">
        <v>1</v>
      </c>
      <c r="R69" s="50" t="s">
        <v>65</v>
      </c>
      <c r="S69" s="398" t="s">
        <v>410</v>
      </c>
      <c r="T69" s="398" t="s">
        <v>365</v>
      </c>
      <c r="U69" s="399" t="s">
        <v>384</v>
      </c>
    </row>
    <row r="70" spans="1:21" ht="61.5" customHeight="1">
      <c r="A70" s="332" t="s">
        <v>19</v>
      </c>
      <c r="B70" s="378">
        <v>44386</v>
      </c>
      <c r="C70" s="15" t="s">
        <v>658</v>
      </c>
      <c r="D70" s="352"/>
      <c r="E70" s="47" t="s">
        <v>327</v>
      </c>
      <c r="F70" s="48" t="s">
        <v>659</v>
      </c>
      <c r="G70" s="11">
        <f t="shared" si="2"/>
        <v>1459148.39</v>
      </c>
      <c r="H70" s="387"/>
      <c r="I70" s="11">
        <f>437744.53+338330.2+390678.26+262574.39+29821.01</f>
        <v>1459148.39</v>
      </c>
      <c r="J70" s="386"/>
      <c r="K70" s="23">
        <f t="shared" si="0"/>
        <v>0</v>
      </c>
      <c r="L70" s="23"/>
      <c r="M70" s="12" t="s">
        <v>30</v>
      </c>
      <c r="N70" s="251">
        <f t="shared" si="1"/>
        <v>1</v>
      </c>
      <c r="O70" s="251">
        <v>1</v>
      </c>
      <c r="P70" s="49" t="s">
        <v>58</v>
      </c>
      <c r="Q70" s="13">
        <v>1</v>
      </c>
      <c r="R70" s="50" t="s">
        <v>73</v>
      </c>
      <c r="S70" s="398" t="s">
        <v>410</v>
      </c>
      <c r="T70" s="398" t="s">
        <v>424</v>
      </c>
      <c r="U70" s="399" t="s">
        <v>425</v>
      </c>
    </row>
    <row r="71" spans="1:21" ht="62.25" customHeight="1">
      <c r="A71" s="332" t="s">
        <v>19</v>
      </c>
      <c r="B71" s="378">
        <v>44386</v>
      </c>
      <c r="C71" s="15" t="s">
        <v>660</v>
      </c>
      <c r="D71" s="352"/>
      <c r="E71" s="47" t="s">
        <v>328</v>
      </c>
      <c r="F71" s="48" t="s">
        <v>329</v>
      </c>
      <c r="G71" s="11">
        <f t="shared" si="2"/>
        <v>2465032.88</v>
      </c>
      <c r="H71" s="387"/>
      <c r="I71" s="11">
        <f>739509.87+412712.26+437631.22+530900.23+127621.03+151627.05+65031.22</f>
        <v>2465032.88</v>
      </c>
      <c r="J71" s="386"/>
      <c r="K71" s="23">
        <f t="shared" si="0"/>
        <v>0</v>
      </c>
      <c r="L71" s="23"/>
      <c r="M71" s="12" t="s">
        <v>30</v>
      </c>
      <c r="N71" s="251">
        <f t="shared" si="1"/>
        <v>1</v>
      </c>
      <c r="O71" s="251">
        <v>1</v>
      </c>
      <c r="P71" s="49" t="s">
        <v>330</v>
      </c>
      <c r="Q71" s="13">
        <v>25</v>
      </c>
      <c r="R71" s="50" t="s">
        <v>151</v>
      </c>
      <c r="S71" s="398" t="s">
        <v>410</v>
      </c>
      <c r="T71" s="398" t="s">
        <v>426</v>
      </c>
      <c r="U71" s="399" t="s">
        <v>427</v>
      </c>
    </row>
    <row r="72" spans="1:21" ht="77.25" customHeight="1">
      <c r="A72" s="332" t="s">
        <v>19</v>
      </c>
      <c r="B72" s="378">
        <v>44386</v>
      </c>
      <c r="C72" s="15" t="s">
        <v>661</v>
      </c>
      <c r="D72" s="352"/>
      <c r="E72" s="47" t="s">
        <v>331</v>
      </c>
      <c r="F72" s="48" t="s">
        <v>332</v>
      </c>
      <c r="G72" s="11">
        <f t="shared" si="2"/>
        <v>2431481.29</v>
      </c>
      <c r="H72" s="387"/>
      <c r="I72" s="11">
        <f>729444.39+477922.52+576886.81+312427.63+220532.09+114267.85</f>
        <v>2431481.29</v>
      </c>
      <c r="J72" s="386"/>
      <c r="K72" s="23">
        <f t="shared" si="0"/>
        <v>0</v>
      </c>
      <c r="L72" s="23"/>
      <c r="M72" s="12" t="s">
        <v>30</v>
      </c>
      <c r="N72" s="251">
        <f t="shared" si="1"/>
        <v>1</v>
      </c>
      <c r="O72" s="251">
        <v>1</v>
      </c>
      <c r="P72" s="49" t="s">
        <v>330</v>
      </c>
      <c r="Q72" s="13">
        <v>25</v>
      </c>
      <c r="R72" s="50" t="s">
        <v>151</v>
      </c>
      <c r="S72" s="398" t="s">
        <v>410</v>
      </c>
      <c r="T72" s="398" t="s">
        <v>428</v>
      </c>
      <c r="U72" s="399" t="s">
        <v>429</v>
      </c>
    </row>
    <row r="73" spans="1:21" ht="82.5" customHeight="1">
      <c r="A73" s="344" t="s">
        <v>241</v>
      </c>
      <c r="B73" s="266">
        <v>44403</v>
      </c>
      <c r="C73" s="267" t="s">
        <v>662</v>
      </c>
      <c r="D73" s="10"/>
      <c r="E73" s="345" t="s">
        <v>333</v>
      </c>
      <c r="F73" s="346" t="s">
        <v>663</v>
      </c>
      <c r="G73" s="11">
        <f t="shared" si="2"/>
        <v>1000069.0700000001</v>
      </c>
      <c r="H73" s="24"/>
      <c r="I73" s="270">
        <f>400027.62+110319.4+231834.55+257887.5</f>
        <v>1000069.0700000001</v>
      </c>
      <c r="J73" s="11"/>
      <c r="K73" s="23">
        <f t="shared" si="0"/>
        <v>0</v>
      </c>
      <c r="L73" s="383"/>
      <c r="M73" s="273" t="s">
        <v>30</v>
      </c>
      <c r="N73" s="347">
        <f t="shared" si="1"/>
        <v>1</v>
      </c>
      <c r="O73" s="347">
        <v>1</v>
      </c>
      <c r="P73" s="348" t="s">
        <v>272</v>
      </c>
      <c r="Q73" s="276">
        <v>277.35000000000002</v>
      </c>
      <c r="R73" s="349" t="s">
        <v>277</v>
      </c>
      <c r="S73" s="398" t="s">
        <v>410</v>
      </c>
      <c r="T73" s="396" t="s">
        <v>325</v>
      </c>
      <c r="U73" s="397" t="s">
        <v>498</v>
      </c>
    </row>
    <row r="74" spans="1:21" ht="73.5" customHeight="1">
      <c r="A74" s="332" t="s">
        <v>241</v>
      </c>
      <c r="B74" s="8">
        <v>44403</v>
      </c>
      <c r="C74" s="15" t="s">
        <v>664</v>
      </c>
      <c r="D74" s="10"/>
      <c r="E74" s="47" t="s">
        <v>334</v>
      </c>
      <c r="F74" s="48" t="s">
        <v>665</v>
      </c>
      <c r="G74" s="11">
        <f t="shared" si="2"/>
        <v>1497860.42</v>
      </c>
      <c r="H74" s="24"/>
      <c r="I74" s="11">
        <f>748930+323386.98+179146.22+246397.22</f>
        <v>1497860.42</v>
      </c>
      <c r="J74" s="11"/>
      <c r="K74" s="23">
        <f t="shared" si="0"/>
        <v>0</v>
      </c>
      <c r="L74" s="23"/>
      <c r="M74" s="12" t="s">
        <v>30</v>
      </c>
      <c r="N74" s="251">
        <f t="shared" si="1"/>
        <v>1</v>
      </c>
      <c r="O74" s="251">
        <v>1</v>
      </c>
      <c r="P74" s="49" t="s">
        <v>272</v>
      </c>
      <c r="Q74" s="13">
        <v>561.79999999999995</v>
      </c>
      <c r="R74" s="50" t="s">
        <v>335</v>
      </c>
      <c r="S74" s="398" t="s">
        <v>410</v>
      </c>
      <c r="T74" s="398" t="s">
        <v>263</v>
      </c>
      <c r="U74" s="399" t="s">
        <v>499</v>
      </c>
    </row>
    <row r="75" spans="1:21" ht="81" customHeight="1">
      <c r="A75" s="332" t="s">
        <v>241</v>
      </c>
      <c r="B75" s="8">
        <v>44403</v>
      </c>
      <c r="C75" s="15" t="s">
        <v>666</v>
      </c>
      <c r="D75" s="10"/>
      <c r="E75" s="47" t="s">
        <v>336</v>
      </c>
      <c r="F75" s="48" t="s">
        <v>667</v>
      </c>
      <c r="G75" s="11">
        <f t="shared" si="2"/>
        <v>14067598.830000002</v>
      </c>
      <c r="H75" s="24"/>
      <c r="I75" s="11">
        <f>6957529.44+986850.28+2180056.94+1227599+1125284.39+825601.55+764677.23</f>
        <v>14067598.830000002</v>
      </c>
      <c r="J75" s="11"/>
      <c r="K75" s="23">
        <f t="shared" si="0"/>
        <v>0</v>
      </c>
      <c r="L75" s="23"/>
      <c r="M75" s="12" t="s">
        <v>30</v>
      </c>
      <c r="N75" s="251">
        <f t="shared" si="1"/>
        <v>1</v>
      </c>
      <c r="O75" s="251">
        <v>1</v>
      </c>
      <c r="P75" s="49" t="s">
        <v>272</v>
      </c>
      <c r="Q75" s="13">
        <v>1968.51</v>
      </c>
      <c r="R75" s="50" t="s">
        <v>337</v>
      </c>
      <c r="S75" s="398" t="s">
        <v>317</v>
      </c>
      <c r="T75" s="398" t="s">
        <v>500</v>
      </c>
      <c r="U75" s="399" t="s">
        <v>501</v>
      </c>
    </row>
    <row r="76" spans="1:21" ht="75.75" customHeight="1">
      <c r="A76" s="353" t="s">
        <v>241</v>
      </c>
      <c r="B76" s="354">
        <v>44442</v>
      </c>
      <c r="C76" s="355" t="s">
        <v>668</v>
      </c>
      <c r="D76" s="10"/>
      <c r="E76" s="356" t="s">
        <v>430</v>
      </c>
      <c r="F76" s="357" t="s">
        <v>669</v>
      </c>
      <c r="G76" s="11">
        <f t="shared" si="2"/>
        <v>8962132.2400000002</v>
      </c>
      <c r="H76" s="24"/>
      <c r="I76" s="358">
        <f>4161714.92+1078150.78+540801.37+547243.42+683428.22+677379.85+763576.62+509837.06</f>
        <v>8962132.2400000002</v>
      </c>
      <c r="J76" s="11"/>
      <c r="K76" s="23">
        <f t="shared" si="0"/>
        <v>0</v>
      </c>
      <c r="L76" s="389"/>
      <c r="M76" s="359" t="s">
        <v>30</v>
      </c>
      <c r="N76" s="360">
        <f t="shared" si="1"/>
        <v>1</v>
      </c>
      <c r="O76" s="360">
        <v>1</v>
      </c>
      <c r="P76" s="361" t="s">
        <v>272</v>
      </c>
      <c r="Q76" s="291">
        <v>3491.09</v>
      </c>
      <c r="R76" s="362" t="s">
        <v>431</v>
      </c>
      <c r="S76" s="400" t="s">
        <v>317</v>
      </c>
      <c r="T76" s="400" t="s">
        <v>502</v>
      </c>
      <c r="U76" s="401" t="s">
        <v>503</v>
      </c>
    </row>
    <row r="77" spans="1:21" ht="46.5" customHeight="1">
      <c r="A77" s="332" t="s">
        <v>19</v>
      </c>
      <c r="B77" s="378">
        <v>44425</v>
      </c>
      <c r="C77" s="15" t="s">
        <v>670</v>
      </c>
      <c r="D77" s="352"/>
      <c r="E77" s="47" t="s">
        <v>73</v>
      </c>
      <c r="F77" s="48" t="s">
        <v>671</v>
      </c>
      <c r="G77" s="11">
        <f t="shared" si="2"/>
        <v>1984447.93</v>
      </c>
      <c r="H77" s="387"/>
      <c r="I77" s="11">
        <f>595334.38+51019.38+291173.94+297326.33+224421.73+433458.19+91713.98</f>
        <v>1984447.93</v>
      </c>
      <c r="J77" s="386"/>
      <c r="K77" s="23">
        <f t="shared" si="0"/>
        <v>0</v>
      </c>
      <c r="L77" s="23"/>
      <c r="M77" s="12" t="s">
        <v>30</v>
      </c>
      <c r="N77" s="251">
        <f t="shared" si="1"/>
        <v>1</v>
      </c>
      <c r="O77" s="251">
        <v>1</v>
      </c>
      <c r="P77" s="49" t="s">
        <v>58</v>
      </c>
      <c r="Q77" s="13">
        <v>1</v>
      </c>
      <c r="R77" s="50" t="s">
        <v>65</v>
      </c>
      <c r="S77" s="398" t="s">
        <v>410</v>
      </c>
      <c r="T77" s="398" t="s">
        <v>426</v>
      </c>
      <c r="U77" s="399" t="s">
        <v>432</v>
      </c>
    </row>
    <row r="78" spans="1:21" ht="69" customHeight="1">
      <c r="A78" s="332" t="s">
        <v>19</v>
      </c>
      <c r="B78" s="378">
        <v>44425</v>
      </c>
      <c r="C78" s="15" t="s">
        <v>672</v>
      </c>
      <c r="D78" s="352"/>
      <c r="E78" s="47" t="s">
        <v>385</v>
      </c>
      <c r="F78" s="48" t="s">
        <v>673</v>
      </c>
      <c r="G78" s="11">
        <f t="shared" si="2"/>
        <v>799499.71</v>
      </c>
      <c r="H78" s="387"/>
      <c r="I78" s="11">
        <f>239849.91+209161.95+331424.9+19062.95</f>
        <v>799499.71</v>
      </c>
      <c r="J78" s="386"/>
      <c r="K78" s="23">
        <f t="shared" si="0"/>
        <v>0</v>
      </c>
      <c r="L78" s="23"/>
      <c r="M78" s="12" t="s">
        <v>30</v>
      </c>
      <c r="N78" s="251">
        <f t="shared" si="1"/>
        <v>1</v>
      </c>
      <c r="O78" s="251">
        <v>1</v>
      </c>
      <c r="P78" s="49" t="s">
        <v>58</v>
      </c>
      <c r="Q78" s="13">
        <v>1</v>
      </c>
      <c r="R78" s="50" t="s">
        <v>65</v>
      </c>
      <c r="S78" s="398" t="s">
        <v>226</v>
      </c>
      <c r="T78" s="398" t="s">
        <v>433</v>
      </c>
      <c r="U78" s="399" t="s">
        <v>434</v>
      </c>
    </row>
    <row r="79" spans="1:21" ht="63.75">
      <c r="A79" s="332" t="s">
        <v>19</v>
      </c>
      <c r="B79" s="378">
        <v>44425</v>
      </c>
      <c r="C79" s="15" t="s">
        <v>674</v>
      </c>
      <c r="D79" s="352"/>
      <c r="E79" s="47" t="s">
        <v>386</v>
      </c>
      <c r="F79" s="48" t="s">
        <v>675</v>
      </c>
      <c r="G79" s="11">
        <f t="shared" si="2"/>
        <v>1779537.1</v>
      </c>
      <c r="H79" s="387"/>
      <c r="I79" s="11">
        <f>520461.06+211516.71+352296.16+134770.32+479502.51+80990.34</f>
        <v>1779537.1</v>
      </c>
      <c r="J79" s="386"/>
      <c r="K79" s="23">
        <f t="shared" si="0"/>
        <v>0</v>
      </c>
      <c r="L79" s="23"/>
      <c r="M79" s="12" t="s">
        <v>30</v>
      </c>
      <c r="N79" s="251">
        <f t="shared" si="1"/>
        <v>1</v>
      </c>
      <c r="O79" s="251">
        <v>1</v>
      </c>
      <c r="P79" s="49" t="s">
        <v>58</v>
      </c>
      <c r="Q79" s="13">
        <v>1</v>
      </c>
      <c r="R79" s="50" t="s">
        <v>65</v>
      </c>
      <c r="S79" s="398" t="s">
        <v>410</v>
      </c>
      <c r="T79" s="398" t="s">
        <v>435</v>
      </c>
      <c r="U79" s="399" t="s">
        <v>436</v>
      </c>
    </row>
    <row r="80" spans="1:21" ht="64.5" customHeight="1">
      <c r="A80" s="332" t="s">
        <v>19</v>
      </c>
      <c r="B80" s="378">
        <v>44425</v>
      </c>
      <c r="C80" s="15" t="s">
        <v>676</v>
      </c>
      <c r="D80" s="352"/>
      <c r="E80" s="47" t="s">
        <v>387</v>
      </c>
      <c r="F80" s="48" t="s">
        <v>677</v>
      </c>
      <c r="G80" s="11">
        <f t="shared" si="2"/>
        <v>1150060.1900000002</v>
      </c>
      <c r="H80" s="387"/>
      <c r="I80" s="11">
        <f>345018.06+66117.31+84091.32+138128.72+122831.94+356408.35+37464.49</f>
        <v>1150060.1900000002</v>
      </c>
      <c r="J80" s="386"/>
      <c r="K80" s="23">
        <f t="shared" si="0"/>
        <v>0</v>
      </c>
      <c r="L80" s="23"/>
      <c r="M80" s="12" t="s">
        <v>30</v>
      </c>
      <c r="N80" s="251">
        <f t="shared" si="1"/>
        <v>1</v>
      </c>
      <c r="O80" s="251">
        <v>1</v>
      </c>
      <c r="P80" s="49" t="s">
        <v>58</v>
      </c>
      <c r="Q80" s="13">
        <v>1</v>
      </c>
      <c r="R80" s="50" t="s">
        <v>65</v>
      </c>
      <c r="S80" s="398" t="s">
        <v>226</v>
      </c>
      <c r="T80" s="398" t="s">
        <v>321</v>
      </c>
      <c r="U80" s="399" t="s">
        <v>504</v>
      </c>
    </row>
    <row r="81" spans="1:21" ht="64.5" customHeight="1">
      <c r="A81" s="332" t="s">
        <v>19</v>
      </c>
      <c r="B81" s="378">
        <v>44425</v>
      </c>
      <c r="C81" s="15" t="s">
        <v>678</v>
      </c>
      <c r="D81" s="352"/>
      <c r="E81" s="47" t="s">
        <v>388</v>
      </c>
      <c r="F81" s="48" t="s">
        <v>679</v>
      </c>
      <c r="G81" s="11">
        <f t="shared" si="2"/>
        <v>1679523.74</v>
      </c>
      <c r="H81" s="387"/>
      <c r="I81" s="11">
        <f>503857.12+406000+328376.59+413445.02+27845.01</f>
        <v>1679523.74</v>
      </c>
      <c r="J81" s="386"/>
      <c r="K81" s="23">
        <f t="shared" si="0"/>
        <v>0</v>
      </c>
      <c r="L81" s="23"/>
      <c r="M81" s="12" t="s">
        <v>30</v>
      </c>
      <c r="N81" s="251">
        <f t="shared" si="1"/>
        <v>1</v>
      </c>
      <c r="O81" s="251">
        <v>1</v>
      </c>
      <c r="P81" s="49" t="s">
        <v>58</v>
      </c>
      <c r="Q81" s="13">
        <v>1</v>
      </c>
      <c r="R81" s="50" t="s">
        <v>65</v>
      </c>
      <c r="S81" s="398" t="s">
        <v>410</v>
      </c>
      <c r="T81" s="398" t="s">
        <v>505</v>
      </c>
      <c r="U81" s="399" t="s">
        <v>506</v>
      </c>
    </row>
    <row r="82" spans="1:21" ht="69" customHeight="1">
      <c r="A82" s="332" t="s">
        <v>19</v>
      </c>
      <c r="B82" s="378">
        <v>44425</v>
      </c>
      <c r="C82" s="15" t="s">
        <v>680</v>
      </c>
      <c r="D82" s="352"/>
      <c r="E82" s="47" t="s">
        <v>389</v>
      </c>
      <c r="F82" s="48" t="s">
        <v>681</v>
      </c>
      <c r="G82" s="11">
        <f t="shared" ref="G82:G93" si="3">I82</f>
        <v>2095580.2799999998</v>
      </c>
      <c r="H82" s="387"/>
      <c r="I82" s="11">
        <f>628674.08+84264.58+267297.92+382722+176665.6+295370.35+171943.92+88641.83</f>
        <v>2095580.2799999998</v>
      </c>
      <c r="J82" s="386"/>
      <c r="K82" s="23">
        <f t="shared" si="0"/>
        <v>0</v>
      </c>
      <c r="L82" s="23"/>
      <c r="M82" s="12" t="s">
        <v>30</v>
      </c>
      <c r="N82" s="251">
        <f t="shared" si="1"/>
        <v>1</v>
      </c>
      <c r="O82" s="251">
        <v>1</v>
      </c>
      <c r="P82" s="49" t="s">
        <v>58</v>
      </c>
      <c r="Q82" s="13">
        <v>1</v>
      </c>
      <c r="R82" s="50" t="s">
        <v>65</v>
      </c>
      <c r="S82" s="398" t="s">
        <v>410</v>
      </c>
      <c r="T82" s="398" t="s">
        <v>507</v>
      </c>
      <c r="U82" s="399" t="s">
        <v>508</v>
      </c>
    </row>
    <row r="83" spans="1:21" ht="62.25" customHeight="1">
      <c r="A83" s="332" t="s">
        <v>19</v>
      </c>
      <c r="B83" s="378">
        <v>44438</v>
      </c>
      <c r="C83" s="15" t="s">
        <v>682</v>
      </c>
      <c r="D83" s="352"/>
      <c r="E83" s="47" t="s">
        <v>390</v>
      </c>
      <c r="F83" s="48" t="s">
        <v>683</v>
      </c>
      <c r="G83" s="11">
        <f t="shared" si="3"/>
        <v>2495332.21</v>
      </c>
      <c r="H83" s="387"/>
      <c r="I83" s="11">
        <f>748599.66+58109.11+166907.66+235133.46+510344.15+776238.17</f>
        <v>2495332.21</v>
      </c>
      <c r="J83" s="386"/>
      <c r="K83" s="23">
        <f t="shared" si="0"/>
        <v>0</v>
      </c>
      <c r="L83" s="23"/>
      <c r="M83" s="12" t="s">
        <v>30</v>
      </c>
      <c r="N83" s="251">
        <f t="shared" si="1"/>
        <v>1</v>
      </c>
      <c r="O83" s="251">
        <v>1</v>
      </c>
      <c r="P83" s="49" t="s">
        <v>58</v>
      </c>
      <c r="Q83" s="13">
        <v>1</v>
      </c>
      <c r="R83" s="50" t="s">
        <v>391</v>
      </c>
      <c r="S83" s="398" t="s">
        <v>410</v>
      </c>
      <c r="T83" s="398" t="s">
        <v>262</v>
      </c>
      <c r="U83" s="399" t="s">
        <v>509</v>
      </c>
    </row>
    <row r="84" spans="1:21" ht="103.5" customHeight="1">
      <c r="A84" s="332" t="s">
        <v>19</v>
      </c>
      <c r="B84" s="378">
        <v>44438</v>
      </c>
      <c r="C84" s="15" t="s">
        <v>684</v>
      </c>
      <c r="D84" s="352"/>
      <c r="E84" s="47" t="s">
        <v>392</v>
      </c>
      <c r="F84" s="48" t="s">
        <v>685</v>
      </c>
      <c r="G84" s="11">
        <f t="shared" si="3"/>
        <v>718392.64</v>
      </c>
      <c r="H84" s="387"/>
      <c r="I84" s="11">
        <f>495805.1+196909.91+25677.63</f>
        <v>718392.64</v>
      </c>
      <c r="J84" s="386"/>
      <c r="K84" s="23">
        <f t="shared" si="0"/>
        <v>0</v>
      </c>
      <c r="L84" s="23"/>
      <c r="M84" s="12" t="s">
        <v>30</v>
      </c>
      <c r="N84" s="251">
        <f t="shared" si="1"/>
        <v>1</v>
      </c>
      <c r="O84" s="251">
        <v>1</v>
      </c>
      <c r="P84" s="49" t="s">
        <v>20</v>
      </c>
      <c r="Q84" s="13">
        <v>1043.3499999999999</v>
      </c>
      <c r="R84" s="50" t="s">
        <v>391</v>
      </c>
      <c r="S84" s="398" t="s">
        <v>226</v>
      </c>
      <c r="T84" s="398" t="s">
        <v>373</v>
      </c>
      <c r="U84" s="399" t="s">
        <v>510</v>
      </c>
    </row>
    <row r="85" spans="1:21" ht="90" customHeight="1">
      <c r="A85" s="353" t="s">
        <v>19</v>
      </c>
      <c r="B85" s="391">
        <v>44438</v>
      </c>
      <c r="C85" s="355" t="s">
        <v>686</v>
      </c>
      <c r="D85" s="352"/>
      <c r="E85" s="356" t="s">
        <v>393</v>
      </c>
      <c r="F85" s="357" t="s">
        <v>687</v>
      </c>
      <c r="G85" s="11">
        <f t="shared" si="3"/>
        <v>2147552.7999999998</v>
      </c>
      <c r="H85" s="387"/>
      <c r="I85" s="358">
        <f>1275434.6+190625.67+554906.46+126586.07</f>
        <v>2147552.7999999998</v>
      </c>
      <c r="J85" s="386"/>
      <c r="K85" s="23">
        <f t="shared" si="0"/>
        <v>0</v>
      </c>
      <c r="L85" s="389"/>
      <c r="M85" s="359" t="s">
        <v>30</v>
      </c>
      <c r="N85" s="360">
        <f t="shared" si="1"/>
        <v>1</v>
      </c>
      <c r="O85" s="360">
        <v>1</v>
      </c>
      <c r="P85" s="361" t="s">
        <v>20</v>
      </c>
      <c r="Q85" s="291">
        <v>2680.31</v>
      </c>
      <c r="R85" s="362" t="s">
        <v>61</v>
      </c>
      <c r="S85" s="398" t="s">
        <v>410</v>
      </c>
      <c r="T85" s="400" t="s">
        <v>263</v>
      </c>
      <c r="U85" s="401" t="s">
        <v>511</v>
      </c>
    </row>
    <row r="86" spans="1:21" ht="90" customHeight="1">
      <c r="A86" s="332" t="s">
        <v>19</v>
      </c>
      <c r="B86" s="378">
        <v>44438</v>
      </c>
      <c r="C86" s="15" t="s">
        <v>688</v>
      </c>
      <c r="D86" s="352"/>
      <c r="E86" s="47" t="s">
        <v>394</v>
      </c>
      <c r="F86" s="48" t="s">
        <v>689</v>
      </c>
      <c r="G86" s="11">
        <f t="shared" si="3"/>
        <v>1967841.76</v>
      </c>
      <c r="H86" s="387"/>
      <c r="I86" s="11">
        <f>1266333.13+181804.79+447186.57+72517.27</f>
        <v>1967841.76</v>
      </c>
      <c r="J86" s="386"/>
      <c r="K86" s="23">
        <f t="shared" si="0"/>
        <v>0</v>
      </c>
      <c r="L86" s="23"/>
      <c r="M86" s="12" t="s">
        <v>30</v>
      </c>
      <c r="N86" s="251">
        <f t="shared" si="1"/>
        <v>1</v>
      </c>
      <c r="O86" s="251">
        <v>1</v>
      </c>
      <c r="P86" s="49" t="s">
        <v>20</v>
      </c>
      <c r="Q86" s="13">
        <v>2680.31</v>
      </c>
      <c r="R86" s="50" t="s">
        <v>61</v>
      </c>
      <c r="S86" s="398" t="s">
        <v>410</v>
      </c>
      <c r="T86" s="398" t="s">
        <v>325</v>
      </c>
      <c r="U86" s="399" t="s">
        <v>512</v>
      </c>
    </row>
    <row r="87" spans="1:21" ht="105" customHeight="1">
      <c r="A87" s="332" t="s">
        <v>19</v>
      </c>
      <c r="B87" s="378">
        <v>44438</v>
      </c>
      <c r="C87" s="15" t="s">
        <v>690</v>
      </c>
      <c r="D87" s="352"/>
      <c r="E87" s="47" t="s">
        <v>395</v>
      </c>
      <c r="F87" s="48" t="s">
        <v>691</v>
      </c>
      <c r="G87" s="11">
        <f t="shared" si="3"/>
        <v>1853613.2500000002</v>
      </c>
      <c r="H87" s="387"/>
      <c r="I87" s="11">
        <f>1257135.57+166996.6+381328.71+48152.37</f>
        <v>1853613.2500000002</v>
      </c>
      <c r="J87" s="386"/>
      <c r="K87" s="23">
        <f t="shared" si="0"/>
        <v>0</v>
      </c>
      <c r="L87" s="23"/>
      <c r="M87" s="12" t="s">
        <v>30</v>
      </c>
      <c r="N87" s="251">
        <f t="shared" si="1"/>
        <v>1</v>
      </c>
      <c r="O87" s="251">
        <v>1</v>
      </c>
      <c r="P87" s="49" t="s">
        <v>20</v>
      </c>
      <c r="Q87" s="13">
        <v>2680.31</v>
      </c>
      <c r="R87" s="50" t="s">
        <v>61</v>
      </c>
      <c r="S87" s="398" t="s">
        <v>317</v>
      </c>
      <c r="T87" s="398" t="s">
        <v>309</v>
      </c>
      <c r="U87" s="399" t="s">
        <v>513</v>
      </c>
    </row>
    <row r="88" spans="1:21" ht="98.25" customHeight="1">
      <c r="A88" s="364" t="s">
        <v>437</v>
      </c>
      <c r="B88" s="365">
        <v>44442</v>
      </c>
      <c r="C88" s="366" t="s">
        <v>692</v>
      </c>
      <c r="D88" s="10"/>
      <c r="E88" s="367" t="s">
        <v>438</v>
      </c>
      <c r="F88" s="368" t="s">
        <v>693</v>
      </c>
      <c r="G88" s="11">
        <f t="shared" si="3"/>
        <v>10118576.49</v>
      </c>
      <c r="H88" s="24"/>
      <c r="I88" s="369">
        <f>4939923.43+728399.93+1045526.41+723972.01+954693.04+615328.51+552502.14+558231.02</f>
        <v>10118576.49</v>
      </c>
      <c r="J88" s="11"/>
      <c r="K88" s="23">
        <f t="shared" si="0"/>
        <v>0</v>
      </c>
      <c r="L88" s="390"/>
      <c r="M88" s="370" t="s">
        <v>30</v>
      </c>
      <c r="N88" s="371">
        <f t="shared" si="1"/>
        <v>1</v>
      </c>
      <c r="O88" s="371">
        <v>1</v>
      </c>
      <c r="P88" s="372" t="s">
        <v>272</v>
      </c>
      <c r="Q88" s="373">
        <v>769.7</v>
      </c>
      <c r="R88" s="374" t="s">
        <v>431</v>
      </c>
      <c r="S88" s="404" t="s">
        <v>317</v>
      </c>
      <c r="T88" s="404" t="s">
        <v>514</v>
      </c>
      <c r="U88" s="405" t="s">
        <v>515</v>
      </c>
    </row>
    <row r="89" spans="1:21" ht="101.25" customHeight="1">
      <c r="A89" s="332" t="s">
        <v>19</v>
      </c>
      <c r="B89" s="378">
        <v>44461</v>
      </c>
      <c r="C89" s="15" t="s">
        <v>694</v>
      </c>
      <c r="D89" s="352"/>
      <c r="E89" s="47" t="s">
        <v>439</v>
      </c>
      <c r="F89" s="48" t="s">
        <v>695</v>
      </c>
      <c r="G89" s="11">
        <f t="shared" si="3"/>
        <v>1038888.17</v>
      </c>
      <c r="H89" s="387"/>
      <c r="I89" s="11">
        <f>504726.73+465238.08+68923.36</f>
        <v>1038888.17</v>
      </c>
      <c r="J89" s="386"/>
      <c r="K89" s="23">
        <f t="shared" si="0"/>
        <v>0</v>
      </c>
      <c r="L89" s="23"/>
      <c r="M89" s="12" t="s">
        <v>30</v>
      </c>
      <c r="N89" s="251">
        <f t="shared" si="1"/>
        <v>1</v>
      </c>
      <c r="O89" s="251">
        <v>1</v>
      </c>
      <c r="P89" s="49" t="s">
        <v>20</v>
      </c>
      <c r="Q89" s="13">
        <v>7058.34</v>
      </c>
      <c r="R89" s="50" t="s">
        <v>59</v>
      </c>
      <c r="S89" s="398" t="s">
        <v>226</v>
      </c>
      <c r="T89" s="398" t="s">
        <v>516</v>
      </c>
      <c r="U89" s="399" t="s">
        <v>517</v>
      </c>
    </row>
    <row r="90" spans="1:21" ht="90" customHeight="1">
      <c r="A90" s="332" t="s">
        <v>19</v>
      </c>
      <c r="B90" s="378">
        <v>44461</v>
      </c>
      <c r="C90" s="15" t="s">
        <v>696</v>
      </c>
      <c r="D90" s="352"/>
      <c r="E90" s="47" t="s">
        <v>440</v>
      </c>
      <c r="F90" s="48" t="s">
        <v>697</v>
      </c>
      <c r="G90" s="11">
        <f t="shared" si="3"/>
        <v>1038888.17</v>
      </c>
      <c r="H90" s="387"/>
      <c r="I90" s="11">
        <f>504703.09+399941.54+134243.54</f>
        <v>1038888.17</v>
      </c>
      <c r="J90" s="386"/>
      <c r="K90" s="23">
        <f t="shared" si="0"/>
        <v>0</v>
      </c>
      <c r="L90" s="23"/>
      <c r="M90" s="12" t="s">
        <v>30</v>
      </c>
      <c r="N90" s="251">
        <f t="shared" si="1"/>
        <v>1</v>
      </c>
      <c r="O90" s="251">
        <v>1</v>
      </c>
      <c r="P90" s="49" t="s">
        <v>20</v>
      </c>
      <c r="Q90" s="13">
        <v>7058.34</v>
      </c>
      <c r="R90" s="50" t="s">
        <v>59</v>
      </c>
      <c r="S90" s="398" t="s">
        <v>226</v>
      </c>
      <c r="T90" s="398" t="s">
        <v>256</v>
      </c>
      <c r="U90" s="399" t="s">
        <v>518</v>
      </c>
    </row>
    <row r="91" spans="1:21" ht="69.75" customHeight="1">
      <c r="A91" s="332" t="s">
        <v>19</v>
      </c>
      <c r="B91" s="378">
        <v>44461</v>
      </c>
      <c r="C91" s="15" t="s">
        <v>698</v>
      </c>
      <c r="D91" s="352"/>
      <c r="E91" s="47" t="s">
        <v>441</v>
      </c>
      <c r="F91" s="48" t="s">
        <v>699</v>
      </c>
      <c r="G91" s="11">
        <f t="shared" si="3"/>
        <v>1600844.5</v>
      </c>
      <c r="H91" s="387"/>
      <c r="I91" s="11">
        <f>800422.25+335743.95+407630.11+57048.19</f>
        <v>1600844.5</v>
      </c>
      <c r="J91" s="386"/>
      <c r="K91" s="23">
        <f t="shared" si="0"/>
        <v>0</v>
      </c>
      <c r="L91" s="23"/>
      <c r="M91" s="12" t="s">
        <v>30</v>
      </c>
      <c r="N91" s="251">
        <f t="shared" si="1"/>
        <v>1</v>
      </c>
      <c r="O91" s="251">
        <v>1</v>
      </c>
      <c r="P91" s="49" t="s">
        <v>20</v>
      </c>
      <c r="Q91" s="13">
        <v>1832.59</v>
      </c>
      <c r="R91" s="50" t="s">
        <v>59</v>
      </c>
      <c r="S91" s="398" t="s">
        <v>81</v>
      </c>
      <c r="T91" s="398" t="s">
        <v>519</v>
      </c>
      <c r="U91" s="399" t="s">
        <v>520</v>
      </c>
    </row>
    <row r="92" spans="1:21" ht="88.5" customHeight="1">
      <c r="A92" s="332" t="s">
        <v>19</v>
      </c>
      <c r="B92" s="8">
        <v>44461</v>
      </c>
      <c r="C92" s="15" t="s">
        <v>700</v>
      </c>
      <c r="D92" s="352"/>
      <c r="E92" s="47" t="s">
        <v>442</v>
      </c>
      <c r="F92" s="48" t="s">
        <v>701</v>
      </c>
      <c r="G92" s="11">
        <f t="shared" si="3"/>
        <v>1240448.7</v>
      </c>
      <c r="H92" s="387"/>
      <c r="I92" s="11">
        <f>760000+341419.35+109306.38+29722.97</f>
        <v>1240448.7</v>
      </c>
      <c r="J92" s="386"/>
      <c r="K92" s="23">
        <f t="shared" si="0"/>
        <v>0</v>
      </c>
      <c r="L92" s="23"/>
      <c r="M92" s="12" t="s">
        <v>30</v>
      </c>
      <c r="N92" s="251">
        <f t="shared" si="1"/>
        <v>1</v>
      </c>
      <c r="O92" s="251">
        <v>1</v>
      </c>
      <c r="P92" s="49" t="s">
        <v>20</v>
      </c>
      <c r="Q92" s="13">
        <v>1835.27</v>
      </c>
      <c r="R92" s="50" t="s">
        <v>59</v>
      </c>
      <c r="S92" s="398" t="s">
        <v>226</v>
      </c>
      <c r="T92" s="398" t="s">
        <v>308</v>
      </c>
      <c r="U92" s="399" t="s">
        <v>521</v>
      </c>
    </row>
    <row r="93" spans="1:21" ht="64.5" customHeight="1">
      <c r="A93" s="332" t="s">
        <v>19</v>
      </c>
      <c r="B93" s="8">
        <v>44470</v>
      </c>
      <c r="C93" s="15" t="s">
        <v>702</v>
      </c>
      <c r="D93" s="352"/>
      <c r="E93" s="47" t="s">
        <v>522</v>
      </c>
      <c r="F93" s="48" t="s">
        <v>703</v>
      </c>
      <c r="G93" s="11">
        <f t="shared" si="3"/>
        <v>728565.88000000012</v>
      </c>
      <c r="H93" s="387"/>
      <c r="I93" s="11">
        <f>364282.95+221306.61+64606.55+78369.77</f>
        <v>728565.88000000012</v>
      </c>
      <c r="J93" s="386"/>
      <c r="K93" s="23">
        <f t="shared" si="0"/>
        <v>0</v>
      </c>
      <c r="L93" s="23"/>
      <c r="M93" s="12" t="s">
        <v>30</v>
      </c>
      <c r="N93" s="251">
        <f t="shared" si="1"/>
        <v>1</v>
      </c>
      <c r="O93" s="251">
        <v>1</v>
      </c>
      <c r="P93" s="49" t="s">
        <v>58</v>
      </c>
      <c r="Q93" s="13">
        <v>1</v>
      </c>
      <c r="R93" s="50" t="s">
        <v>391</v>
      </c>
      <c r="S93" s="398" t="s">
        <v>226</v>
      </c>
      <c r="T93" s="398" t="s">
        <v>523</v>
      </c>
      <c r="U93" s="399" t="s">
        <v>524</v>
      </c>
    </row>
    <row r="94" spans="1:21" ht="84" customHeight="1">
      <c r="A94" s="344" t="s">
        <v>42</v>
      </c>
      <c r="B94" s="266">
        <v>44475</v>
      </c>
      <c r="C94" s="267" t="s">
        <v>704</v>
      </c>
      <c r="D94" s="10"/>
      <c r="E94" s="345" t="s">
        <v>525</v>
      </c>
      <c r="F94" s="346" t="s">
        <v>705</v>
      </c>
      <c r="G94" s="270">
        <f t="shared" ref="G94:G111" si="4">I94</f>
        <v>216922.52</v>
      </c>
      <c r="H94" s="24"/>
      <c r="I94" s="270">
        <f>97655.47+82381.18+36885.87</f>
        <v>216922.52</v>
      </c>
      <c r="J94" s="11"/>
      <c r="K94" s="23">
        <f t="shared" si="0"/>
        <v>0</v>
      </c>
      <c r="L94" s="383"/>
      <c r="M94" s="273" t="s">
        <v>30</v>
      </c>
      <c r="N94" s="347">
        <f t="shared" si="1"/>
        <v>1</v>
      </c>
      <c r="O94" s="347">
        <v>1</v>
      </c>
      <c r="P94" s="348" t="s">
        <v>243</v>
      </c>
      <c r="Q94" s="276">
        <v>1</v>
      </c>
      <c r="R94" s="349" t="s">
        <v>526</v>
      </c>
      <c r="S94" s="267" t="s">
        <v>226</v>
      </c>
      <c r="T94" s="267" t="s">
        <v>527</v>
      </c>
      <c r="U94" s="350" t="s">
        <v>528</v>
      </c>
    </row>
    <row r="95" spans="1:21" ht="91.5" customHeight="1">
      <c r="A95" s="353" t="s">
        <v>42</v>
      </c>
      <c r="B95" s="354">
        <v>44508</v>
      </c>
      <c r="C95" s="355" t="s">
        <v>706</v>
      </c>
      <c r="D95" s="10"/>
      <c r="E95" s="356" t="s">
        <v>529</v>
      </c>
      <c r="F95" s="357" t="s">
        <v>707</v>
      </c>
      <c r="G95" s="358">
        <f t="shared" si="4"/>
        <v>433845.1</v>
      </c>
      <c r="H95" s="24"/>
      <c r="I95" s="358">
        <f>195278.3+173530.43+65036.37</f>
        <v>433845.1</v>
      </c>
      <c r="J95" s="11"/>
      <c r="K95" s="23">
        <f t="shared" si="0"/>
        <v>0</v>
      </c>
      <c r="L95" s="389"/>
      <c r="M95" s="359" t="s">
        <v>30</v>
      </c>
      <c r="N95" s="360">
        <f t="shared" si="1"/>
        <v>1</v>
      </c>
      <c r="O95" s="360">
        <v>1</v>
      </c>
      <c r="P95" s="361" t="s">
        <v>243</v>
      </c>
      <c r="Q95" s="291">
        <v>1</v>
      </c>
      <c r="R95" s="362" t="s">
        <v>530</v>
      </c>
      <c r="S95" s="355" t="s">
        <v>226</v>
      </c>
      <c r="T95" s="355" t="s">
        <v>527</v>
      </c>
      <c r="U95" s="363" t="s">
        <v>531</v>
      </c>
    </row>
    <row r="96" spans="1:21" ht="93" customHeight="1">
      <c r="A96" s="332" t="s">
        <v>19</v>
      </c>
      <c r="B96" s="8">
        <v>44516</v>
      </c>
      <c r="C96" s="15" t="s">
        <v>708</v>
      </c>
      <c r="D96" s="352"/>
      <c r="E96" s="47" t="s">
        <v>532</v>
      </c>
      <c r="F96" s="48" t="s">
        <v>533</v>
      </c>
      <c r="G96" s="11">
        <f t="shared" si="4"/>
        <v>1018080.8999999999</v>
      </c>
      <c r="H96" s="387"/>
      <c r="I96" s="11">
        <f>305424.26+420993.66+209067.26+82595.72</f>
        <v>1018080.8999999999</v>
      </c>
      <c r="J96" s="386"/>
      <c r="K96" s="23">
        <f t="shared" si="0"/>
        <v>0</v>
      </c>
      <c r="L96" s="23"/>
      <c r="M96" s="12" t="s">
        <v>30</v>
      </c>
      <c r="N96" s="251">
        <f t="shared" si="1"/>
        <v>1</v>
      </c>
      <c r="O96" s="251">
        <v>1</v>
      </c>
      <c r="P96" s="49" t="s">
        <v>58</v>
      </c>
      <c r="Q96" s="13">
        <v>1</v>
      </c>
      <c r="R96" s="50" t="s">
        <v>391</v>
      </c>
      <c r="S96" s="398" t="s">
        <v>226</v>
      </c>
      <c r="T96" s="398" t="s">
        <v>709</v>
      </c>
      <c r="U96" s="399" t="s">
        <v>710</v>
      </c>
    </row>
    <row r="97" spans="1:21" ht="82.5" customHeight="1">
      <c r="A97" s="332" t="s">
        <v>19</v>
      </c>
      <c r="B97" s="378">
        <v>44516</v>
      </c>
      <c r="C97" s="15" t="s">
        <v>711</v>
      </c>
      <c r="D97" s="352"/>
      <c r="E97" s="47" t="s">
        <v>534</v>
      </c>
      <c r="F97" s="48" t="s">
        <v>712</v>
      </c>
      <c r="G97" s="11">
        <f t="shared" si="4"/>
        <v>2081268.61</v>
      </c>
      <c r="H97" s="387"/>
      <c r="I97" s="11">
        <f>1504563.18+538885.9+37819.53</f>
        <v>2081268.61</v>
      </c>
      <c r="J97" s="386"/>
      <c r="K97" s="23">
        <f t="shared" si="0"/>
        <v>0</v>
      </c>
      <c r="L97" s="389"/>
      <c r="M97" s="12" t="s">
        <v>30</v>
      </c>
      <c r="N97" s="251">
        <f t="shared" si="1"/>
        <v>1</v>
      </c>
      <c r="O97" s="251">
        <v>1</v>
      </c>
      <c r="P97" s="49" t="s">
        <v>20</v>
      </c>
      <c r="Q97" s="13">
        <v>2200.08</v>
      </c>
      <c r="R97" s="50" t="s">
        <v>65</v>
      </c>
      <c r="S97" s="398" t="s">
        <v>226</v>
      </c>
      <c r="T97" s="398" t="s">
        <v>82</v>
      </c>
      <c r="U97" s="399" t="s">
        <v>713</v>
      </c>
    </row>
    <row r="98" spans="1:21" ht="69.75" customHeight="1">
      <c r="A98" s="332" t="s">
        <v>19</v>
      </c>
      <c r="B98" s="378">
        <v>44516</v>
      </c>
      <c r="C98" s="15" t="s">
        <v>714</v>
      </c>
      <c r="D98" s="352"/>
      <c r="E98" s="47" t="s">
        <v>535</v>
      </c>
      <c r="F98" s="48" t="s">
        <v>536</v>
      </c>
      <c r="G98" s="11">
        <f t="shared" si="4"/>
        <v>1953904.46</v>
      </c>
      <c r="H98" s="387"/>
      <c r="I98" s="11">
        <f>1531654.4+304721.55+117528.51</f>
        <v>1953904.46</v>
      </c>
      <c r="J98" s="386"/>
      <c r="K98" s="23">
        <f t="shared" si="0"/>
        <v>0</v>
      </c>
      <c r="L98" s="23"/>
      <c r="M98" s="12" t="s">
        <v>30</v>
      </c>
      <c r="N98" s="251">
        <f t="shared" si="1"/>
        <v>1</v>
      </c>
      <c r="O98" s="251">
        <v>1</v>
      </c>
      <c r="P98" s="49" t="s">
        <v>20</v>
      </c>
      <c r="Q98" s="13">
        <v>2295</v>
      </c>
      <c r="R98" s="50" t="s">
        <v>59</v>
      </c>
      <c r="S98" s="398" t="s">
        <v>226</v>
      </c>
      <c r="T98" s="398" t="s">
        <v>519</v>
      </c>
      <c r="U98" s="399" t="s">
        <v>715</v>
      </c>
    </row>
    <row r="99" spans="1:21" ht="69" customHeight="1">
      <c r="A99" s="332" t="s">
        <v>19</v>
      </c>
      <c r="B99" s="378">
        <v>44516</v>
      </c>
      <c r="C99" s="15" t="s">
        <v>716</v>
      </c>
      <c r="D99" s="352"/>
      <c r="E99" s="47" t="s">
        <v>537</v>
      </c>
      <c r="F99" s="48" t="s">
        <v>717</v>
      </c>
      <c r="G99" s="11">
        <f t="shared" si="4"/>
        <v>999931.07000000007</v>
      </c>
      <c r="H99" s="387"/>
      <c r="I99" s="11">
        <f>299979.32+632601.51+67350.24</f>
        <v>999931.07000000007</v>
      </c>
      <c r="J99" s="386"/>
      <c r="K99" s="23">
        <f t="shared" si="0"/>
        <v>0</v>
      </c>
      <c r="L99" s="23"/>
      <c r="M99" s="12" t="s">
        <v>30</v>
      </c>
      <c r="N99" s="251">
        <f t="shared" si="1"/>
        <v>1</v>
      </c>
      <c r="O99" s="251">
        <v>1</v>
      </c>
      <c r="P99" s="49" t="s">
        <v>58</v>
      </c>
      <c r="Q99" s="13">
        <v>1</v>
      </c>
      <c r="R99" s="50" t="s">
        <v>59</v>
      </c>
      <c r="S99" s="398" t="s">
        <v>226</v>
      </c>
      <c r="T99" s="398" t="s">
        <v>538</v>
      </c>
      <c r="U99" s="399" t="s">
        <v>539</v>
      </c>
    </row>
    <row r="100" spans="1:21" ht="80.25" customHeight="1">
      <c r="A100" s="344" t="s">
        <v>31</v>
      </c>
      <c r="B100" s="266">
        <v>44285</v>
      </c>
      <c r="C100" s="267" t="s">
        <v>718</v>
      </c>
      <c r="D100" s="10"/>
      <c r="E100" s="345" t="s">
        <v>39</v>
      </c>
      <c r="F100" s="346" t="s">
        <v>719</v>
      </c>
      <c r="G100" s="11">
        <f t="shared" si="4"/>
        <v>15123029.260000002</v>
      </c>
      <c r="H100" s="24"/>
      <c r="I100" s="270">
        <f>7556467+3778233.39+3778233.39+10095.48</f>
        <v>15123029.260000002</v>
      </c>
      <c r="J100" s="11"/>
      <c r="K100" s="23">
        <f t="shared" si="0"/>
        <v>0</v>
      </c>
      <c r="L100" s="383"/>
      <c r="M100" s="273" t="s">
        <v>30</v>
      </c>
      <c r="N100" s="347">
        <f t="shared" si="1"/>
        <v>1</v>
      </c>
      <c r="O100" s="347">
        <v>1</v>
      </c>
      <c r="P100" s="348" t="s">
        <v>32</v>
      </c>
      <c r="Q100" s="276">
        <v>1497</v>
      </c>
      <c r="R100" s="349" t="s">
        <v>40</v>
      </c>
      <c r="S100" s="396" t="s">
        <v>284</v>
      </c>
      <c r="T100" s="396" t="s">
        <v>285</v>
      </c>
      <c r="U100" s="397" t="s">
        <v>299</v>
      </c>
    </row>
    <row r="101" spans="1:21" ht="75.75" customHeight="1">
      <c r="A101" s="332" t="s">
        <v>31</v>
      </c>
      <c r="B101" s="8">
        <v>44518</v>
      </c>
      <c r="C101" s="15" t="s">
        <v>720</v>
      </c>
      <c r="D101" s="10"/>
      <c r="E101" s="47" t="s">
        <v>540</v>
      </c>
      <c r="F101" s="48" t="s">
        <v>719</v>
      </c>
      <c r="G101" s="11">
        <f t="shared" si="4"/>
        <v>1103766.68</v>
      </c>
      <c r="H101" s="24"/>
      <c r="I101" s="11">
        <v>1103766.68</v>
      </c>
      <c r="J101" s="11"/>
      <c r="K101" s="23">
        <f t="shared" si="0"/>
        <v>0</v>
      </c>
      <c r="L101" s="23"/>
      <c r="M101" s="12" t="s">
        <v>30</v>
      </c>
      <c r="N101" s="251">
        <f t="shared" si="1"/>
        <v>1</v>
      </c>
      <c r="O101" s="251">
        <v>1</v>
      </c>
      <c r="P101" s="49" t="s">
        <v>32</v>
      </c>
      <c r="Q101" s="13">
        <v>100</v>
      </c>
      <c r="R101" s="50" t="s">
        <v>277</v>
      </c>
      <c r="S101" s="398" t="s">
        <v>81</v>
      </c>
      <c r="T101" s="398" t="s">
        <v>285</v>
      </c>
      <c r="U101" s="399" t="s">
        <v>253</v>
      </c>
    </row>
    <row r="102" spans="1:21" ht="53.25" customHeight="1">
      <c r="A102" s="332" t="s">
        <v>42</v>
      </c>
      <c r="B102" s="8">
        <v>44295</v>
      </c>
      <c r="C102" s="15" t="s">
        <v>721</v>
      </c>
      <c r="D102" s="10"/>
      <c r="E102" s="47" t="s">
        <v>43</v>
      </c>
      <c r="F102" s="48" t="s">
        <v>722</v>
      </c>
      <c r="G102" s="11">
        <f t="shared" si="4"/>
        <v>614580.96000000008</v>
      </c>
      <c r="H102" s="24"/>
      <c r="I102" s="11">
        <f>102430.16+102430.16+87775.58+14654.58+102430.16+102430.16+102430.16</f>
        <v>614580.96000000008</v>
      </c>
      <c r="J102" s="11"/>
      <c r="K102" s="23">
        <f t="shared" si="0"/>
        <v>0</v>
      </c>
      <c r="L102" s="23"/>
      <c r="M102" s="12" t="s">
        <v>300</v>
      </c>
      <c r="N102" s="251">
        <f t="shared" si="1"/>
        <v>1</v>
      </c>
      <c r="O102" s="251">
        <v>1</v>
      </c>
      <c r="P102" s="49" t="s">
        <v>44</v>
      </c>
      <c r="Q102" s="13">
        <v>1</v>
      </c>
      <c r="R102" s="50" t="s">
        <v>45</v>
      </c>
      <c r="S102" s="398" t="s">
        <v>226</v>
      </c>
      <c r="T102" s="398" t="s">
        <v>338</v>
      </c>
      <c r="U102" s="399" t="s">
        <v>253</v>
      </c>
    </row>
    <row r="103" spans="1:21" ht="54.75" customHeight="1">
      <c r="A103" s="353" t="s">
        <v>42</v>
      </c>
      <c r="B103" s="354">
        <v>44295</v>
      </c>
      <c r="C103" s="355" t="s">
        <v>723</v>
      </c>
      <c r="D103" s="10"/>
      <c r="E103" s="356" t="s">
        <v>46</v>
      </c>
      <c r="F103" s="357" t="s">
        <v>724</v>
      </c>
      <c r="G103" s="11">
        <f t="shared" si="4"/>
        <v>299999.98</v>
      </c>
      <c r="H103" s="24"/>
      <c r="I103" s="358">
        <v>299999.98</v>
      </c>
      <c r="J103" s="11"/>
      <c r="K103" s="23">
        <f t="shared" si="0"/>
        <v>0</v>
      </c>
      <c r="L103" s="389"/>
      <c r="M103" s="359" t="s">
        <v>300</v>
      </c>
      <c r="N103" s="360">
        <f t="shared" si="1"/>
        <v>1</v>
      </c>
      <c r="O103" s="360">
        <v>1</v>
      </c>
      <c r="P103" s="361" t="s">
        <v>44</v>
      </c>
      <c r="Q103" s="291">
        <v>1</v>
      </c>
      <c r="R103" s="362" t="s">
        <v>45</v>
      </c>
      <c r="S103" s="400" t="s">
        <v>300</v>
      </c>
      <c r="T103" s="400" t="s">
        <v>300</v>
      </c>
      <c r="U103" s="401" t="s">
        <v>253</v>
      </c>
    </row>
    <row r="104" spans="1:21" ht="60" customHeight="1">
      <c r="A104" s="332" t="s">
        <v>19</v>
      </c>
      <c r="B104" s="378">
        <v>44295</v>
      </c>
      <c r="C104" s="15" t="s">
        <v>725</v>
      </c>
      <c r="D104" s="352"/>
      <c r="E104" s="47" t="s">
        <v>47</v>
      </c>
      <c r="F104" s="48" t="s">
        <v>48</v>
      </c>
      <c r="G104" s="11">
        <f t="shared" si="4"/>
        <v>1203999.97</v>
      </c>
      <c r="H104" s="387"/>
      <c r="I104" s="11">
        <f>881542.75+133383.54+13132.08+87970.8+87970.8</f>
        <v>1203999.97</v>
      </c>
      <c r="J104" s="386"/>
      <c r="K104" s="23">
        <f t="shared" si="0"/>
        <v>0</v>
      </c>
      <c r="L104" s="23"/>
      <c r="M104" s="12" t="s">
        <v>300</v>
      </c>
      <c r="N104" s="251">
        <f t="shared" si="1"/>
        <v>1</v>
      </c>
      <c r="O104" s="251">
        <v>1</v>
      </c>
      <c r="P104" s="49" t="s">
        <v>49</v>
      </c>
      <c r="Q104" s="13">
        <v>1</v>
      </c>
      <c r="R104" s="50" t="s">
        <v>45</v>
      </c>
      <c r="S104" s="398" t="s">
        <v>300</v>
      </c>
      <c r="T104" s="398" t="s">
        <v>300</v>
      </c>
      <c r="U104" s="399" t="s">
        <v>253</v>
      </c>
    </row>
    <row r="105" spans="1:21" ht="60.75" customHeight="1">
      <c r="A105" s="332" t="s">
        <v>19</v>
      </c>
      <c r="B105" s="378">
        <v>44295</v>
      </c>
      <c r="C105" s="15" t="s">
        <v>726</v>
      </c>
      <c r="D105" s="352"/>
      <c r="E105" s="47" t="s">
        <v>50</v>
      </c>
      <c r="F105" s="48" t="s">
        <v>727</v>
      </c>
      <c r="G105" s="11">
        <f t="shared" si="4"/>
        <v>1289000</v>
      </c>
      <c r="H105" s="387"/>
      <c r="I105" s="11">
        <f>348000+232020+96675+96675+64450.01+64449.99+64450.01+64450.01+64450.01+64450.01+64450.01+64479.95</f>
        <v>1289000</v>
      </c>
      <c r="J105" s="386"/>
      <c r="K105" s="23">
        <f t="shared" si="0"/>
        <v>0</v>
      </c>
      <c r="L105" s="23"/>
      <c r="M105" s="12" t="s">
        <v>300</v>
      </c>
      <c r="N105" s="251">
        <f t="shared" si="1"/>
        <v>1</v>
      </c>
      <c r="O105" s="251">
        <v>1</v>
      </c>
      <c r="P105" s="49" t="s">
        <v>49</v>
      </c>
      <c r="Q105" s="13">
        <v>1</v>
      </c>
      <c r="R105" s="50" t="s">
        <v>45</v>
      </c>
      <c r="S105" s="398" t="s">
        <v>226</v>
      </c>
      <c r="T105" s="398" t="s">
        <v>339</v>
      </c>
      <c r="U105" s="399" t="s">
        <v>340</v>
      </c>
    </row>
    <row r="106" spans="1:21" ht="76.5" customHeight="1">
      <c r="A106" s="364" t="s">
        <v>31</v>
      </c>
      <c r="B106" s="365">
        <v>44295</v>
      </c>
      <c r="C106" s="366" t="s">
        <v>728</v>
      </c>
      <c r="D106" s="10"/>
      <c r="E106" s="367" t="s">
        <v>51</v>
      </c>
      <c r="F106" s="368" t="s">
        <v>729</v>
      </c>
      <c r="G106" s="369">
        <f t="shared" si="4"/>
        <v>1094399.68</v>
      </c>
      <c r="H106" s="24"/>
      <c r="I106" s="369">
        <f>180960+139200+139200+139200+139200+139200+55680+41760+119999.68</f>
        <v>1094399.68</v>
      </c>
      <c r="J106" s="11"/>
      <c r="K106" s="23">
        <f t="shared" si="0"/>
        <v>0</v>
      </c>
      <c r="L106" s="390"/>
      <c r="M106" s="370" t="s">
        <v>300</v>
      </c>
      <c r="N106" s="371">
        <f t="shared" si="1"/>
        <v>1</v>
      </c>
      <c r="O106" s="371">
        <v>1</v>
      </c>
      <c r="P106" s="372" t="s">
        <v>52</v>
      </c>
      <c r="Q106" s="373">
        <v>1</v>
      </c>
      <c r="R106" s="374" t="s">
        <v>53</v>
      </c>
      <c r="S106" s="366" t="s">
        <v>300</v>
      </c>
      <c r="T106" s="366" t="s">
        <v>300</v>
      </c>
      <c r="U106" s="375" t="s">
        <v>253</v>
      </c>
    </row>
    <row r="107" spans="1:21" ht="66.75" customHeight="1">
      <c r="A107" s="332" t="s">
        <v>19</v>
      </c>
      <c r="B107" s="378">
        <v>44322</v>
      </c>
      <c r="C107" s="15" t="s">
        <v>730</v>
      </c>
      <c r="D107" s="352"/>
      <c r="E107" s="47" t="s">
        <v>250</v>
      </c>
      <c r="F107" s="48" t="s">
        <v>443</v>
      </c>
      <c r="G107" s="11">
        <f t="shared" si="4"/>
        <v>0</v>
      </c>
      <c r="H107" s="387"/>
      <c r="I107" s="11">
        <v>0</v>
      </c>
      <c r="J107" s="386"/>
      <c r="K107" s="23">
        <f t="shared" si="0"/>
        <v>0</v>
      </c>
      <c r="L107" s="23"/>
      <c r="M107" s="12" t="s">
        <v>300</v>
      </c>
      <c r="N107" s="251" t="s">
        <v>99</v>
      </c>
      <c r="O107" s="251">
        <v>0</v>
      </c>
      <c r="P107" s="49" t="s">
        <v>58</v>
      </c>
      <c r="Q107" s="13">
        <v>1</v>
      </c>
      <c r="R107" s="50" t="s">
        <v>251</v>
      </c>
      <c r="S107" s="398" t="s">
        <v>300</v>
      </c>
      <c r="T107" s="398" t="s">
        <v>300</v>
      </c>
      <c r="U107" s="399" t="s">
        <v>253</v>
      </c>
    </row>
    <row r="108" spans="1:21" ht="66" customHeight="1">
      <c r="A108" s="332" t="s">
        <v>19</v>
      </c>
      <c r="B108" s="378">
        <v>44324</v>
      </c>
      <c r="C108" s="15" t="s">
        <v>731</v>
      </c>
      <c r="D108" s="352"/>
      <c r="E108" s="47" t="s">
        <v>252</v>
      </c>
      <c r="F108" s="48" t="s">
        <v>732</v>
      </c>
      <c r="G108" s="11">
        <f t="shared" si="4"/>
        <v>0</v>
      </c>
      <c r="H108" s="387"/>
      <c r="I108" s="11">
        <v>0</v>
      </c>
      <c r="J108" s="386"/>
      <c r="K108" s="23">
        <f t="shared" si="0"/>
        <v>0</v>
      </c>
      <c r="L108" s="23"/>
      <c r="M108" s="12" t="s">
        <v>300</v>
      </c>
      <c r="N108" s="251" t="s">
        <v>99</v>
      </c>
      <c r="O108" s="251">
        <v>0</v>
      </c>
      <c r="P108" s="49" t="s">
        <v>58</v>
      </c>
      <c r="Q108" s="13">
        <v>1</v>
      </c>
      <c r="R108" s="50" t="s">
        <v>251</v>
      </c>
      <c r="S108" s="398" t="s">
        <v>300</v>
      </c>
      <c r="T108" s="398" t="s">
        <v>300</v>
      </c>
      <c r="U108" s="399" t="s">
        <v>253</v>
      </c>
    </row>
    <row r="109" spans="1:21" ht="86.25">
      <c r="A109" s="332" t="s">
        <v>19</v>
      </c>
      <c r="B109" s="378">
        <v>44377</v>
      </c>
      <c r="C109" s="15" t="s">
        <v>733</v>
      </c>
      <c r="D109" s="352"/>
      <c r="E109" s="47" t="s">
        <v>286</v>
      </c>
      <c r="F109" s="48" t="s">
        <v>444</v>
      </c>
      <c r="G109" s="11">
        <f t="shared" si="4"/>
        <v>0</v>
      </c>
      <c r="H109" s="387"/>
      <c r="I109" s="11">
        <v>0</v>
      </c>
      <c r="J109" s="386"/>
      <c r="K109" s="11">
        <f t="shared" si="0"/>
        <v>0</v>
      </c>
      <c r="L109" s="23"/>
      <c r="M109" s="12" t="s">
        <v>99</v>
      </c>
      <c r="N109" s="251" t="s">
        <v>99</v>
      </c>
      <c r="O109" s="251">
        <v>0</v>
      </c>
      <c r="P109" s="49" t="s">
        <v>58</v>
      </c>
      <c r="Q109" s="13">
        <v>1</v>
      </c>
      <c r="R109" s="50" t="s">
        <v>246</v>
      </c>
      <c r="S109" s="398" t="s">
        <v>300</v>
      </c>
      <c r="T109" s="398" t="s">
        <v>300</v>
      </c>
      <c r="U109" s="399" t="s">
        <v>253</v>
      </c>
    </row>
    <row r="110" spans="1:21" ht="76.5" customHeight="1">
      <c r="A110" s="332" t="s">
        <v>31</v>
      </c>
      <c r="B110" s="8">
        <v>44462</v>
      </c>
      <c r="C110" s="15" t="s">
        <v>445</v>
      </c>
      <c r="D110" s="10"/>
      <c r="E110" s="47" t="s">
        <v>446</v>
      </c>
      <c r="F110" s="48" t="s">
        <v>447</v>
      </c>
      <c r="G110" s="11">
        <f t="shared" si="4"/>
        <v>189033.60000000001</v>
      </c>
      <c r="H110" s="24"/>
      <c r="I110" s="11">
        <v>189033.60000000001</v>
      </c>
      <c r="J110" s="11"/>
      <c r="K110" s="23">
        <f t="shared" si="0"/>
        <v>0</v>
      </c>
      <c r="L110" s="23"/>
      <c r="M110" s="12" t="s">
        <v>99</v>
      </c>
      <c r="N110" s="251">
        <f t="shared" ref="N110" si="5">I110/G110</f>
        <v>1</v>
      </c>
      <c r="O110" s="251">
        <v>1</v>
      </c>
      <c r="P110" s="49" t="s">
        <v>52</v>
      </c>
      <c r="Q110" s="13">
        <v>1</v>
      </c>
      <c r="R110" s="50" t="s">
        <v>448</v>
      </c>
      <c r="S110" s="398" t="s">
        <v>300</v>
      </c>
      <c r="T110" s="398" t="s">
        <v>300</v>
      </c>
      <c r="U110" s="399" t="s">
        <v>253</v>
      </c>
    </row>
    <row r="111" spans="1:21" ht="90" customHeight="1" thickBot="1">
      <c r="A111" s="333" t="s">
        <v>541</v>
      </c>
      <c r="B111" s="95">
        <v>44504</v>
      </c>
      <c r="C111" s="96" t="s">
        <v>734</v>
      </c>
      <c r="D111" s="98"/>
      <c r="E111" s="334" t="s">
        <v>542</v>
      </c>
      <c r="F111" s="335" t="s">
        <v>735</v>
      </c>
      <c r="G111" s="99">
        <f t="shared" si="4"/>
        <v>319812</v>
      </c>
      <c r="H111" s="336"/>
      <c r="I111" s="99">
        <f>134739.8+147024.2+38048</f>
        <v>319812</v>
      </c>
      <c r="J111" s="99"/>
      <c r="K111" s="337">
        <f t="shared" si="0"/>
        <v>0</v>
      </c>
      <c r="L111" s="337"/>
      <c r="M111" s="102" t="s">
        <v>99</v>
      </c>
      <c r="N111" s="338">
        <f t="shared" si="1"/>
        <v>1</v>
      </c>
      <c r="O111" s="338">
        <v>1</v>
      </c>
      <c r="P111" s="339" t="s">
        <v>52</v>
      </c>
      <c r="Q111" s="105">
        <v>1</v>
      </c>
      <c r="R111" s="340" t="s">
        <v>543</v>
      </c>
      <c r="S111" s="402" t="s">
        <v>300</v>
      </c>
      <c r="T111" s="402" t="s">
        <v>300</v>
      </c>
      <c r="U111" s="403" t="s">
        <v>253</v>
      </c>
    </row>
    <row r="112" spans="1:21" ht="15.75" thickBot="1">
      <c r="A112" s="497"/>
      <c r="B112" s="497"/>
      <c r="C112" s="497"/>
      <c r="D112" s="497"/>
      <c r="E112" s="497"/>
      <c r="F112" s="497"/>
      <c r="G112" s="25"/>
      <c r="H112" s="26"/>
      <c r="I112" s="27"/>
      <c r="J112" s="28"/>
      <c r="K112" s="29"/>
      <c r="L112" s="30"/>
      <c r="M112" s="31"/>
      <c r="N112" s="32"/>
      <c r="O112" s="32"/>
      <c r="P112" s="33"/>
      <c r="Q112" s="34"/>
      <c r="R112" s="35"/>
      <c r="S112" s="36"/>
      <c r="T112" s="36"/>
      <c r="U112" s="36"/>
    </row>
    <row r="113" spans="1:21" ht="16.5" thickTop="1" thickBot="1">
      <c r="A113" s="37"/>
      <c r="B113" s="38"/>
      <c r="C113" s="36"/>
      <c r="D113" s="39"/>
      <c r="E113" s="39"/>
      <c r="F113" s="40" t="s">
        <v>15</v>
      </c>
      <c r="G113" s="406">
        <f>SUM(G16:G112)</f>
        <v>222041536.85299999</v>
      </c>
      <c r="H113" s="41">
        <f>SUM(H16:H111)</f>
        <v>0</v>
      </c>
      <c r="I113" s="406">
        <f>SUM(I16:I111)</f>
        <v>222041536.85299999</v>
      </c>
      <c r="J113" s="41">
        <f>SUM(J16:J112)</f>
        <v>0</v>
      </c>
      <c r="K113" s="41">
        <f>SUM(K16:K111)</f>
        <v>0</v>
      </c>
      <c r="L113" s="41">
        <f>SUM(L16:L111)</f>
        <v>0</v>
      </c>
      <c r="M113" s="32"/>
      <c r="N113" s="32"/>
      <c r="O113" s="261"/>
      <c r="P113" s="42"/>
      <c r="Q113" s="34"/>
      <c r="R113" s="35"/>
      <c r="S113" s="36"/>
      <c r="T113" s="36"/>
      <c r="U113" s="36"/>
    </row>
    <row r="114" spans="1:21" ht="15.75" thickTop="1">
      <c r="A114" s="37"/>
      <c r="B114" s="38"/>
      <c r="C114" s="36"/>
      <c r="D114" s="39"/>
      <c r="E114" s="39"/>
      <c r="F114" s="51"/>
      <c r="G114" s="52"/>
      <c r="H114" s="53"/>
      <c r="I114" s="53"/>
      <c r="J114" s="53"/>
      <c r="K114" s="53"/>
      <c r="L114" s="53"/>
      <c r="M114" s="32"/>
      <c r="N114" s="32"/>
      <c r="O114" s="261"/>
      <c r="P114" s="42"/>
      <c r="Q114" s="34"/>
      <c r="R114" s="35"/>
      <c r="S114" s="36"/>
      <c r="T114" s="36"/>
      <c r="U114" s="36"/>
    </row>
    <row r="115" spans="1:21">
      <c r="A115" s="43" t="s">
        <v>21</v>
      </c>
      <c r="B115" s="16"/>
      <c r="C115" s="16"/>
      <c r="D115" s="16"/>
      <c r="E115" s="16"/>
      <c r="F115" s="16"/>
      <c r="G115" s="16"/>
      <c r="H115" s="16"/>
      <c r="I115" s="44"/>
      <c r="J115" s="28"/>
      <c r="K115" s="16"/>
      <c r="L115" s="16"/>
      <c r="M115" s="16"/>
      <c r="N115" s="16"/>
      <c r="O115" s="16"/>
      <c r="P115" s="45"/>
      <c r="Q115" s="46"/>
      <c r="R115" s="16"/>
      <c r="S115" s="16"/>
      <c r="T115" s="16"/>
      <c r="U115" s="16"/>
    </row>
    <row r="117" spans="1:21">
      <c r="I117" s="131">
        <f>G113-I113</f>
        <v>0</v>
      </c>
    </row>
  </sheetData>
  <autoFilter ref="A15:U111">
    <filterColumn colId="0">
      <filters>
        <filter val="SOPMA"/>
      </filters>
    </filterColumn>
    <filterColumn colId="15" showButton="0"/>
  </autoFilter>
  <mergeCells count="18">
    <mergeCell ref="A8:B8"/>
    <mergeCell ref="C8:E8"/>
    <mergeCell ref="A10:B10"/>
    <mergeCell ref="A2:B5"/>
    <mergeCell ref="A7:B7"/>
    <mergeCell ref="C7:E7"/>
    <mergeCell ref="C2:U2"/>
    <mergeCell ref="C10:E10"/>
    <mergeCell ref="A9:B9"/>
    <mergeCell ref="C4:U4"/>
    <mergeCell ref="C5:U5"/>
    <mergeCell ref="C3:T3"/>
    <mergeCell ref="T14:U14"/>
    <mergeCell ref="A112:F112"/>
    <mergeCell ref="C9:E9"/>
    <mergeCell ref="A11:B11"/>
    <mergeCell ref="C11:E11"/>
    <mergeCell ref="P15:Q15"/>
  </mergeCells>
  <pageMargins left="0.31496062992125984" right="0.31496062992125984" top="0.35433070866141736" bottom="0.35433070866141736" header="0.31496062992125984" footer="0.31496062992125984"/>
  <pageSetup paperSize="290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RESUMEN</vt:lpstr>
      <vt:lpstr>PDM </vt:lpstr>
      <vt:lpstr>FORTAMUNDF</vt:lpstr>
      <vt:lpstr>FISMDF</vt:lpstr>
      <vt:lpstr>FISMDF!Área_de_impresión</vt:lpstr>
      <vt:lpstr>FORTAMUNDF!Área_de_impresión</vt:lpstr>
      <vt:lpstr>'PDM '!Área_de_impresión</vt:lpstr>
      <vt:lpstr>RESUMEN!Área_de_impresión</vt:lpstr>
      <vt:lpstr>FISMDF!Títulos_a_imprimir</vt:lpstr>
      <vt:lpstr>'PDM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Maria del Rosario Renteria Blanco</cp:lastModifiedBy>
  <cp:lastPrinted>2022-01-24T18:11:18Z</cp:lastPrinted>
  <dcterms:created xsi:type="dcterms:W3CDTF">2018-01-26T00:48:08Z</dcterms:created>
  <dcterms:modified xsi:type="dcterms:W3CDTF">2022-01-24T18:11:30Z</dcterms:modified>
</cp:coreProperties>
</file>